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2120" windowHeight="6405" firstSheet="9" activeTab="9"/>
  </bookViews>
  <sheets>
    <sheet name="INSTRUCTIONS" sheetId="1" r:id="rId1"/>
    <sheet name="WORK SHEET" sheetId="2" r:id="rId2"/>
    <sheet name="P. TOKEN" sheetId="3" r:id="rId3"/>
    <sheet name="ANNEX-I &amp; II" sheetId="4" r:id="rId4"/>
    <sheet name="101" sheetId="5" r:id="rId5"/>
    <sheet name="PROCEEDINGS" sheetId="6" r:id="rId6"/>
    <sheet name="47-FRONT" sheetId="7" r:id="rId7"/>
    <sheet name="BILL-NOTIONAL" sheetId="8" state="hidden" r:id="rId8"/>
    <sheet name="BILL-P.F &amp; CASH" sheetId="9" state="hidden" r:id="rId9"/>
    <sheet name="BILL" sheetId="10" r:id="rId10"/>
    <sheet name="47-BUDGET" sheetId="11" r:id="rId11"/>
    <sheet name="P.F SCHEDULE" sheetId="12" r:id="rId12"/>
    <sheet name="PT SCHEDULE" sheetId="13" r:id="rId13"/>
    <sheet name="49-(1P)" sheetId="14" r:id="rId14"/>
    <sheet name="49-(2P)" sheetId="15" r:id="rId15"/>
    <sheet name="PREAMBLE" sheetId="16" state="hidden" r:id="rId16"/>
    <sheet name="Sheet1" sheetId="17" r:id="rId17"/>
    <sheet name="Sheet2" sheetId="18" r:id="rId18"/>
    <sheet name="Sheet3" sheetId="19" r:id="rId19"/>
  </sheets>
  <externalReferences>
    <externalReference r:id="rId22"/>
  </externalReferences>
  <definedNames/>
  <calcPr fullCalcOnLoad="1"/>
</workbook>
</file>

<file path=xl/comments1.xml><?xml version="1.0" encoding="utf-8"?>
<comments xmlns="http://schemas.openxmlformats.org/spreadsheetml/2006/main">
  <authors>
    <author>sai</author>
  </authors>
  <commentList>
    <comment ref="B25" authorId="0">
      <text>
        <r>
          <rPr>
            <b/>
            <sz val="8"/>
            <rFont val="Tahoma"/>
            <family val="2"/>
          </rPr>
          <t>sai:</t>
        </r>
        <r>
          <rPr>
            <sz val="8"/>
            <rFont val="Tahoma"/>
            <family val="2"/>
          </rPr>
          <t xml:space="preserve">
</t>
        </r>
        <r>
          <rPr>
            <b/>
            <sz val="8"/>
            <rFont val="Tahoma"/>
            <family val="2"/>
          </rPr>
          <t>CLICK HERE TO MAIL</t>
        </r>
      </text>
    </comment>
    <comment ref="F15" authorId="0">
      <text>
        <r>
          <rPr>
            <b/>
            <sz val="8"/>
            <rFont val="Tahoma"/>
            <family val="2"/>
          </rPr>
          <t>sai:</t>
        </r>
        <r>
          <rPr>
            <sz val="8"/>
            <rFont val="Tahoma"/>
            <family val="2"/>
          </rPr>
          <t xml:space="preserve">
</t>
        </r>
        <r>
          <rPr>
            <b/>
            <sz val="8"/>
            <rFont val="Tahoma"/>
            <family val="2"/>
          </rPr>
          <t>CLICK HERE TO MAIL</t>
        </r>
      </text>
    </comment>
    <comment ref="J25" authorId="0">
      <text>
        <r>
          <rPr>
            <b/>
            <sz val="8"/>
            <rFont val="Tahoma"/>
            <family val="2"/>
          </rPr>
          <t>sai:</t>
        </r>
        <r>
          <rPr>
            <sz val="8"/>
            <rFont val="Tahoma"/>
            <family val="2"/>
          </rPr>
          <t xml:space="preserve">
</t>
        </r>
        <r>
          <rPr>
            <b/>
            <sz val="8"/>
            <rFont val="Tahoma"/>
            <family val="2"/>
          </rPr>
          <t>CLICK HERE TO MAIL</t>
        </r>
      </text>
    </comment>
    <comment ref="J26" authorId="0">
      <text>
        <r>
          <rPr>
            <b/>
            <sz val="8"/>
            <rFont val="Tahoma"/>
            <family val="2"/>
          </rPr>
          <t>sai:</t>
        </r>
        <r>
          <rPr>
            <sz val="8"/>
            <rFont val="Tahoma"/>
            <family val="2"/>
          </rPr>
          <t xml:space="preserve">
</t>
        </r>
        <r>
          <rPr>
            <b/>
            <sz val="8"/>
            <rFont val="Tahoma"/>
            <family val="2"/>
          </rPr>
          <t>CLICK HERE TO GO</t>
        </r>
      </text>
    </comment>
  </commentList>
</comments>
</file>

<file path=xl/sharedStrings.xml><?xml version="1.0" encoding="utf-8"?>
<sst xmlns="http://schemas.openxmlformats.org/spreadsheetml/2006/main" count="1075" uniqueCount="717">
  <si>
    <t>Rs.</t>
  </si>
  <si>
    <t>to</t>
  </si>
  <si>
    <t>1.</t>
  </si>
  <si>
    <t>:</t>
  </si>
  <si>
    <t>2.</t>
  </si>
  <si>
    <t>3.</t>
  </si>
  <si>
    <t>A.P.T.C. FORM - 49</t>
  </si>
  <si>
    <t>(See subsidiary Rule 13 under Treasury Rule 10)</t>
  </si>
  <si>
    <t>PERIODICAL INCREMENT CERTIFICATE</t>
  </si>
  <si>
    <t>ANNEXURE</t>
  </si>
  <si>
    <t>(1) Certified that every Government Servant (s) named below has have been earned and prescribed periodical increment from date / dates noted in column (10) and either I(a) has / have been the incumbent or the appointment indicated against his name / their names for a period not less than _____years since the date in column (5) or (if he has / they have been suspended for misconduct) column (7) after deducting the periods between the dates showing in columns (3) and has (9) and has been subjected in any order of stoppage of increment as panaulty during the periods and during the periods of leave on average pay taken at a time from _____________ to ______________ and from _____________ to _______________ which has / have been counted for increments / in the case of officiating Government servents / Servents named below the / they would have officiated in the post / posts but for his / thier going on leave or __________</t>
  </si>
  <si>
    <t>sno</t>
  </si>
  <si>
    <t>Name</t>
  </si>
  <si>
    <t>Appointment</t>
  </si>
  <si>
    <t>Whether substantive or officiating</t>
  </si>
  <si>
    <t>Date from which present pay is drawn</t>
  </si>
  <si>
    <t>Suspension for misconduct</t>
  </si>
  <si>
    <t>Leave without pay and in the case of those holding the post temporarily or in an officiating capacity all kinds of leave other than leave on average pay during which they would have continued to officiate in the post but for their going on leave upto a maximum of four months of such leave taken at time.</t>
  </si>
  <si>
    <t xml:space="preserve">Date from which increment may be given </t>
  </si>
  <si>
    <t xml:space="preserve">Scale of pay </t>
  </si>
  <si>
    <t>Present pay</t>
  </si>
  <si>
    <t>Amount of increment</t>
  </si>
  <si>
    <t>Future pay</t>
  </si>
  <si>
    <t>From</t>
  </si>
  <si>
    <t>To</t>
  </si>
  <si>
    <t>Note :</t>
  </si>
  <si>
    <t xml:space="preserve">1. When an increment claimed operates to carry Government Servant over an efficiancy hav ethe claim should be supported by a declaration from the competent authority that it has satisfied itself that the character and efficiency of the Government Servant concerned are such that he is fit to pass the above column (5) and (10) to (14) should be filled up in red ink. 2. The terms leave on average pay upto a maximum of 4 months where ever occuring from includes earned leave upto a maximum of 100 days or 50 days or 30 days in case may be for a Government Servants governed by the Andhra Pradesh Leave Rules, 1988 are concerned.  3. The service of the individuals satisfactor and no disciplinary cases are pending against during the period of increment. </t>
  </si>
  <si>
    <t>CERTIFICATE</t>
  </si>
  <si>
    <t>(As laid down in Government Memo No.104215 A/1620/Pen.11/56-1, Dated 10-1-1977)</t>
  </si>
  <si>
    <t xml:space="preserve">Certified that Sri </t>
  </si>
  <si>
    <t>whose basic pay is Rs.</t>
  </si>
  <si>
    <t>has already insured under policy No.</t>
  </si>
  <si>
    <t>of the Director of Insurances, AP, Hyd</t>
  </si>
  <si>
    <t>or its Regional Office and monthly premium of Rs.</t>
  </si>
  <si>
    <t>is being deducted from his salary in accordance with the Rules of compalsory insurance</t>
  </si>
  <si>
    <t>them applicable to AP State Employees and sum of Rs.______________ towards of monthly premium is paid in challan No._________ dated ________</t>
  </si>
  <si>
    <t>towards of compulsory insurance scheme applicable to Govt. Servants as per G.O.Ms.No.337 F &amp; P dated 3-8-1976.</t>
  </si>
  <si>
    <t>Rc.No.</t>
  </si>
  <si>
    <t>DATED :</t>
  </si>
  <si>
    <t xml:space="preserve">SUB:- </t>
  </si>
  <si>
    <t>REF:-</t>
  </si>
  <si>
    <t>--oOo--</t>
  </si>
  <si>
    <t>ORDER</t>
  </si>
  <si>
    <t>Total</t>
  </si>
  <si>
    <t xml:space="preserve">Copy to </t>
  </si>
  <si>
    <t>Sri /Smt./Kum</t>
  </si>
  <si>
    <t>Copy to Bill, Service Register</t>
  </si>
  <si>
    <t>PREAMBLE</t>
  </si>
  <si>
    <t>Sri/Smt./Kum.</t>
  </si>
  <si>
    <t>Existing Pay Scale</t>
  </si>
  <si>
    <t>%</t>
  </si>
  <si>
    <t>--nil--</t>
  </si>
  <si>
    <t xml:space="preserve">  GOVERNMENT OF ANDHRA PRADESH                                                                                                                                                         ( A.P.T.C.Form - 47 )                     
</t>
  </si>
  <si>
    <t>(For Treasury Use Only)</t>
  </si>
  <si>
    <t>Pay Bill for the Month &amp; Year</t>
  </si>
  <si>
    <t>DATE:  _____________</t>
  </si>
  <si>
    <t xml:space="preserve">Treasury / P.A.O Code </t>
  </si>
  <si>
    <t xml:space="preserve">Trans ID: </t>
  </si>
  <si>
    <t xml:space="preserve">D.D.O.Code </t>
  </si>
  <si>
    <t>District  :PRAKASAM</t>
  </si>
  <si>
    <t>DDO Designation</t>
  </si>
  <si>
    <t>DDO OFFICE NAME :</t>
  </si>
  <si>
    <t>BANK CODE</t>
  </si>
  <si>
    <t>BANK NAME:</t>
  </si>
  <si>
    <t>DDOs TBR No.</t>
  </si>
  <si>
    <t>Head of Account</t>
  </si>
  <si>
    <t>Deducations</t>
  </si>
  <si>
    <t>Amount</t>
  </si>
  <si>
    <t xml:space="preserve">Major Head </t>
  </si>
  <si>
    <t>General Education</t>
  </si>
  <si>
    <t>G.P.F/AIS/PF</t>
  </si>
  <si>
    <t>Sub Major</t>
  </si>
  <si>
    <t>APGLI</t>
  </si>
  <si>
    <t xml:space="preserve">Minor Head </t>
  </si>
  <si>
    <t>Assistance to Local Bodies for Secondary Education</t>
  </si>
  <si>
    <t>Group Insurance/AIS</t>
  </si>
  <si>
    <t>Group Sub-Head</t>
  </si>
  <si>
    <t>Professional Tax</t>
  </si>
  <si>
    <t>Sub Head</t>
  </si>
  <si>
    <t>Teaching Grant to Zilla Praja Parishads</t>
  </si>
  <si>
    <t>House Rent</t>
  </si>
  <si>
    <t>Detail Head</t>
  </si>
  <si>
    <t>Salaries</t>
  </si>
  <si>
    <t>Festival Adv.&amp;APCO Adv.</t>
  </si>
  <si>
    <t>Educational Adv.</t>
  </si>
  <si>
    <t>HBA (P)</t>
  </si>
  <si>
    <t>Non-plan=N/Plan=P</t>
  </si>
  <si>
    <t>N</t>
  </si>
  <si>
    <t>Charged=C/Voted=V</t>
  </si>
  <si>
    <t>V</t>
  </si>
  <si>
    <t>HBA (I)</t>
  </si>
  <si>
    <t>Contingency Fund/MH</t>
  </si>
  <si>
    <t>Car Adv.(P)</t>
  </si>
  <si>
    <t>Service Major Head</t>
  </si>
  <si>
    <t>Car Adv.(I)</t>
  </si>
  <si>
    <t>Motor Cycle Adv.(P)</t>
  </si>
  <si>
    <t>Motor Cycle Adv.(I)</t>
  </si>
  <si>
    <t>011 - Pay</t>
  </si>
  <si>
    <t>Cycle Adv.</t>
  </si>
  <si>
    <t>012-   Allowances</t>
  </si>
  <si>
    <t>Marriage Adv.(P)</t>
  </si>
  <si>
    <t>013 - Dearness Allowances</t>
  </si>
  <si>
    <t>Marriage Adv.(I)</t>
  </si>
  <si>
    <t>015-   I.R.</t>
  </si>
  <si>
    <t>Income Tax</t>
  </si>
  <si>
    <t>016-   H.R.A.</t>
  </si>
  <si>
    <t>Class IV GPF- D.T.O</t>
  </si>
  <si>
    <t>EWF Loan</t>
  </si>
  <si>
    <t>ZPPF</t>
  </si>
  <si>
    <t>Total Govt. Deducations</t>
  </si>
  <si>
    <t xml:space="preserve">Gross Total </t>
  </si>
  <si>
    <t>Total Non-Govt.Deducations</t>
  </si>
  <si>
    <t>Less Govt. Deductions</t>
  </si>
  <si>
    <t>A.G.Nett Amount</t>
  </si>
  <si>
    <t xml:space="preserve">A.G.Nett Amount in words </t>
  </si>
  <si>
    <t>Drawing Officer</t>
  </si>
  <si>
    <t>FOR USE IN TREASURY / PAY &amp; ACCOUNTS OFFICE ONLY</t>
  </si>
  <si>
    <t>Pay</t>
  </si>
  <si>
    <t xml:space="preserve">_________________ </t>
  </si>
  <si>
    <t>(Rupees ____________________________________________________</t>
  </si>
  <si>
    <t xml:space="preserve">_______________________________________________________ Only) by Cash / Cheque / Draft / </t>
  </si>
  <si>
    <t>Account credit as under and Rs________________________________________________________</t>
  </si>
  <si>
    <t>____________________________________________ only) by adjustment.</t>
  </si>
  <si>
    <t>1.Rs._________________ by transfer credit to the SB Accounts of the Employees (as per Annexure-I)</t>
  </si>
  <si>
    <t>2.Rs._________________ by transfer credit to the DDO Account towards of Non-Govt.Deducations.</t>
  </si>
  <si>
    <t>Rs</t>
  </si>
  <si>
    <t>Treasury Officer / Pay &amp; Accounts Officer</t>
  </si>
  <si>
    <t>BUDGET</t>
  </si>
  <si>
    <t>Total Expenditure including this Bill</t>
  </si>
  <si>
    <t>Balance</t>
  </si>
  <si>
    <t>This bill amount Rs.</t>
  </si>
  <si>
    <t xml:space="preserve"> paid by cash / cheque / draft adjust to account.</t>
  </si>
  <si>
    <t>Received Cash</t>
  </si>
  <si>
    <t>REQUIRED CERTIFICATES</t>
  </si>
  <si>
    <t>Certified That the amount claimed in this bill has not been already drawn and paid previously.</t>
  </si>
  <si>
    <t>Certified that if any excess amount is paid due to the fixation the same will be recovered from the</t>
  </si>
  <si>
    <t>Certified that the note of arrears claims has been carried in the respective copies office bill register .</t>
  </si>
  <si>
    <t>Certified that the necessary fixation entries have been made in the service register of the individual.</t>
  </si>
  <si>
    <t>DRAWING OFFICER</t>
  </si>
  <si>
    <t>For the use Of  Accountant  General  Office</t>
  </si>
  <si>
    <t>Sl.No</t>
  </si>
  <si>
    <t>Name of the Subscriber</t>
  </si>
  <si>
    <t>Designation</t>
  </si>
  <si>
    <t>Employee Code</t>
  </si>
  <si>
    <t>P.F.No</t>
  </si>
  <si>
    <t>refunds or with Drawls</t>
  </si>
  <si>
    <t>Total Amount released</t>
  </si>
  <si>
    <t>No. of inst</t>
  </si>
  <si>
    <t>TOTAL</t>
  </si>
  <si>
    <t>D.D.O. SIGN</t>
  </si>
  <si>
    <t>Date</t>
  </si>
  <si>
    <t>P.P</t>
  </si>
  <si>
    <t>NAME OF THE TEACHER</t>
  </si>
  <si>
    <t xml:space="preserve">SCHOOL </t>
  </si>
  <si>
    <t>MANDAL</t>
  </si>
  <si>
    <t>DISTRICT</t>
  </si>
  <si>
    <t xml:space="preserve">DDO CODE </t>
  </si>
  <si>
    <t>NAME OF SUB-TREASURY</t>
  </si>
  <si>
    <t>NAME OF THE BANK</t>
  </si>
  <si>
    <t>Z.P.H.SCHOOL</t>
  </si>
  <si>
    <t>CHAKRAYAPALEM</t>
  </si>
  <si>
    <t>D.A</t>
  </si>
  <si>
    <t>6700-200-7300-220-7960-240-8680-260-9460-280-10300-300-11200-330-12190-360-13270-390-14440-420-15700-450-17050-490-18520-530-20110-570-21820-610-23650-650-25600-700-27700-750-29950-800-32350-850-34900-900-37600-970-40510-1040-43630-1110-46960-1200-51760-130055660(80)</t>
  </si>
  <si>
    <t>5470-145-6040-155-6505-170-7015-185-7570-200-8170-215-8815-235-9520-255-10285-280-11125-315-12385</t>
  </si>
  <si>
    <t>5750-145-6040-155-6505-170-7015-185-7570-200-8170-215-8815-235-9520-255-10285-280-11125-315-12700-330-13030</t>
  </si>
  <si>
    <t>7200-185-7570-200-8170-215-8815-235-9520-255-10285-280-11125-315-12700-330-13030-360-13750-425-15025-475-16925</t>
  </si>
  <si>
    <t>7385-185-7570-200-8170-215-8815-235-9520-255-10285-280-11125-315-12700-330-13030-360-13750-425-15025-475-16925-550-17475</t>
  </si>
  <si>
    <t>9285-235-9520-255-10285-280-11125-315-12700-330-13030-360-13750-425-15025-475-16925-550-19675-625-21550</t>
  </si>
  <si>
    <t>10285-280-11125-315-12700-330-13030-360-13750-425-15025-475-16925-550-19675-625-22800-700-24200</t>
  </si>
  <si>
    <t>14860-420-15700-450-17050-490-18520-530-20110-570-21820-610-23650-650-25600-700-27700-750-29950-800-32350-850-34900-900-37600-970-39540</t>
  </si>
  <si>
    <t>15280-420-15700-450-17050-490-18520-530-20110-570-21820-610-23650-650-25600-700-27700-750-29950-800-32350-850-34900-900-37600-970-40510</t>
  </si>
  <si>
    <t>10845-280-11125-315-12700-330-13030-360-13750-425-15025-475-16925-550-19675-625-22800-700-25600</t>
  </si>
  <si>
    <t>5470-12385</t>
  </si>
  <si>
    <t>5750-13030</t>
  </si>
  <si>
    <t>7200-16925</t>
  </si>
  <si>
    <t>7385-17475</t>
  </si>
  <si>
    <t>9285-21550</t>
  </si>
  <si>
    <t>10285-24200</t>
  </si>
  <si>
    <t>10845-25600</t>
  </si>
  <si>
    <t>14860-39540</t>
  </si>
  <si>
    <t>15280-40510</t>
  </si>
  <si>
    <t>18030-490-18520-530-20110-570-21820-610-23650-650-25600-700-27700-750-29950-800-32350-850-34900-900-37600-970-40510-1040-43630</t>
  </si>
  <si>
    <t>DATE OF PROMOTION</t>
  </si>
  <si>
    <t>PROCEEDINGS Rc.No.</t>
  </si>
  <si>
    <t>Assistance to Local Bodies for Primary Education</t>
  </si>
  <si>
    <t>Government Primary Schools</t>
  </si>
  <si>
    <t>Government Secondary Schools</t>
  </si>
  <si>
    <t>Teaching Grant to Mandal Praja Parishad</t>
  </si>
  <si>
    <t>Primary Schools</t>
  </si>
  <si>
    <t>Secondary Schools</t>
  </si>
  <si>
    <t>MANDAL EDUCATIONAL OFFICER</t>
  </si>
  <si>
    <t>HEAD MASTER</t>
  </si>
  <si>
    <t>Name and Designation</t>
  </si>
  <si>
    <t>H.R.A</t>
  </si>
  <si>
    <t>H.M.A</t>
  </si>
  <si>
    <t>Grand Total</t>
  </si>
  <si>
    <t>G.P.F.</t>
  </si>
  <si>
    <t>Z.P.P.F</t>
  </si>
  <si>
    <t>Govt Deductions</t>
  </si>
  <si>
    <t>Net Salary</t>
  </si>
  <si>
    <t>PAY</t>
  </si>
  <si>
    <t>D.A.</t>
  </si>
  <si>
    <t>H.R.A.</t>
  </si>
  <si>
    <t>T.D.</t>
  </si>
  <si>
    <t>A.D.</t>
  </si>
  <si>
    <t>DIF.</t>
  </si>
  <si>
    <t>I.R</t>
  </si>
  <si>
    <t xml:space="preserve">PREPARED BY </t>
  </si>
  <si>
    <t>ADDANKI MANDAL</t>
  </si>
  <si>
    <t>Period from</t>
  </si>
  <si>
    <t>01-07-2008 to 31-12-2008</t>
  </si>
  <si>
    <t>01-01-2009 to 30-06-2009</t>
  </si>
  <si>
    <t>01-07-2009 to 31-12-2009</t>
  </si>
  <si>
    <t>D.E.O</t>
  </si>
  <si>
    <t>TO INCREMENT MONTH</t>
  </si>
  <si>
    <t xml:space="preserve"> ONE</t>
  </si>
  <si>
    <t xml:space="preserve"> TWO </t>
  </si>
  <si>
    <t xml:space="preserve"> THREE </t>
  </si>
  <si>
    <t xml:space="preserve"> FOUR </t>
  </si>
  <si>
    <t xml:space="preserve"> FIVE </t>
  </si>
  <si>
    <t xml:space="preserve"> SIX </t>
  </si>
  <si>
    <t xml:space="preserve"> SEVEN </t>
  </si>
  <si>
    <t xml:space="preserve"> EIGHT</t>
  </si>
  <si>
    <t xml:space="preserve"> NINE </t>
  </si>
  <si>
    <t xml:space="preserve"> TEN </t>
  </si>
  <si>
    <t xml:space="preserve"> ELEVEN </t>
  </si>
  <si>
    <t xml:space="preserve"> TWELVE </t>
  </si>
  <si>
    <t xml:space="preserve"> THIRTEEN</t>
  </si>
  <si>
    <t xml:space="preserve"> FOURTEEN </t>
  </si>
  <si>
    <t xml:space="preserve"> FIFTEEN </t>
  </si>
  <si>
    <t xml:space="preserve"> SIXTEEN </t>
  </si>
  <si>
    <t xml:space="preserve"> SEVENTEEN </t>
  </si>
  <si>
    <t xml:space="preserve"> EIGHTEEN </t>
  </si>
  <si>
    <t xml:space="preserve"> TWENTY </t>
  </si>
  <si>
    <t xml:space="preserve"> TWENTY ONE </t>
  </si>
  <si>
    <t xml:space="preserve"> TWENTY TWO </t>
  </si>
  <si>
    <t xml:space="preserve"> TWENTY THREE </t>
  </si>
  <si>
    <t xml:space="preserve"> TWENTY FOUR </t>
  </si>
  <si>
    <t xml:space="preserve"> TWENTY FIVE </t>
  </si>
  <si>
    <t xml:space="preserve"> TWENTY SIX</t>
  </si>
  <si>
    <t xml:space="preserve"> TWENTY SEVEN </t>
  </si>
  <si>
    <t xml:space="preserve"> TWENTY EIGHT</t>
  </si>
  <si>
    <t xml:space="preserve"> TWENTY NINE</t>
  </si>
  <si>
    <t xml:space="preserve"> THIRTY </t>
  </si>
  <si>
    <t xml:space="preserve"> THIRTY ONE</t>
  </si>
  <si>
    <t xml:space="preserve"> THIRTY THREE </t>
  </si>
  <si>
    <t xml:space="preserve"> THIRTY FOUR </t>
  </si>
  <si>
    <t xml:space="preserve"> THIRTY FIVE </t>
  </si>
  <si>
    <t xml:space="preserve"> THIRTY SIX </t>
  </si>
  <si>
    <t xml:space="preserve"> THIRTY SEVEN </t>
  </si>
  <si>
    <t xml:space="preserve"> THIRTY EIGHT </t>
  </si>
  <si>
    <t xml:space="preserve"> THIRTY NINE </t>
  </si>
  <si>
    <t xml:space="preserve"> FORTY </t>
  </si>
  <si>
    <t xml:space="preserve"> FORTY ONE </t>
  </si>
  <si>
    <t xml:space="preserve"> FORTY TWO</t>
  </si>
  <si>
    <t xml:space="preserve"> FORTY THREE </t>
  </si>
  <si>
    <t xml:space="preserve"> FORTY FOUR </t>
  </si>
  <si>
    <t xml:space="preserve"> FORTY FIVE </t>
  </si>
  <si>
    <t xml:space="preserve"> FORTY SIX</t>
  </si>
  <si>
    <t xml:space="preserve"> FORTY SEVEN </t>
  </si>
  <si>
    <t xml:space="preserve"> FORTY EIGHT </t>
  </si>
  <si>
    <t xml:space="preserve"> FORTY NINE </t>
  </si>
  <si>
    <t xml:space="preserve"> FIFTY </t>
  </si>
  <si>
    <t xml:space="preserve"> FIFTY ONE </t>
  </si>
  <si>
    <t xml:space="preserve"> FIFTY TWO </t>
  </si>
  <si>
    <t xml:space="preserve"> FIFYT THREE </t>
  </si>
  <si>
    <t xml:space="preserve"> FIFTY FOUR </t>
  </si>
  <si>
    <t xml:space="preserve"> FIFTY FIVE</t>
  </si>
  <si>
    <t xml:space="preserve"> FIFTY SIX </t>
  </si>
  <si>
    <t xml:space="preserve"> FIFTY SEVEN </t>
  </si>
  <si>
    <t xml:space="preserve"> FIFTY EIGHT</t>
  </si>
  <si>
    <t xml:space="preserve"> FIFTY NINE </t>
  </si>
  <si>
    <t xml:space="preserve"> SIXTY </t>
  </si>
  <si>
    <t xml:space="preserve"> SIXTY ONE </t>
  </si>
  <si>
    <t xml:space="preserve"> SIXTY TWO </t>
  </si>
  <si>
    <t xml:space="preserve"> SIXTY THREE </t>
  </si>
  <si>
    <t xml:space="preserve"> SIXTY FOUR</t>
  </si>
  <si>
    <t xml:space="preserve"> SIXTY FIVE</t>
  </si>
  <si>
    <t xml:space="preserve"> SIXTY SIX </t>
  </si>
  <si>
    <t xml:space="preserve"> SIXTY SEVEN </t>
  </si>
  <si>
    <t xml:space="preserve"> SIXTY EIGHT </t>
  </si>
  <si>
    <t xml:space="preserve"> SIXTY NINE </t>
  </si>
  <si>
    <t xml:space="preserve"> SEVENTY </t>
  </si>
  <si>
    <t xml:space="preserve"> SEVENTY ONE</t>
  </si>
  <si>
    <t xml:space="preserve"> SEVENTY TWO</t>
  </si>
  <si>
    <t xml:space="preserve"> SEVENTY THREE </t>
  </si>
  <si>
    <t xml:space="preserve"> SEVENTY FOUR </t>
  </si>
  <si>
    <t xml:space="preserve"> SEVENTY FIVE </t>
  </si>
  <si>
    <t xml:space="preserve"> SEVENTY SIX </t>
  </si>
  <si>
    <t xml:space="preserve"> SEVENTY SEVEN </t>
  </si>
  <si>
    <t xml:space="preserve"> SEVENTY EIGHT </t>
  </si>
  <si>
    <t xml:space="preserve"> SEVENTY NINE</t>
  </si>
  <si>
    <t xml:space="preserve"> EIGHTY </t>
  </si>
  <si>
    <t xml:space="preserve"> EIGHTY ONE </t>
  </si>
  <si>
    <t xml:space="preserve"> EIGHTY TWO </t>
  </si>
  <si>
    <t xml:space="preserve"> EIGHTY THREE </t>
  </si>
  <si>
    <t xml:space="preserve"> EIGHTY FOUR </t>
  </si>
  <si>
    <t xml:space="preserve"> EIGHTY FIVE </t>
  </si>
  <si>
    <t xml:space="preserve"> EIGHTY SIX </t>
  </si>
  <si>
    <t xml:space="preserve"> EIGHTY SEVEN </t>
  </si>
  <si>
    <t xml:space="preserve"> EIGHTY EIGHT </t>
  </si>
  <si>
    <t xml:space="preserve"> EIGHTY NINE </t>
  </si>
  <si>
    <t xml:space="preserve"> NINETY ONE </t>
  </si>
  <si>
    <t xml:space="preserve"> NINETY TWO</t>
  </si>
  <si>
    <t xml:space="preserve"> NINETY THREE </t>
  </si>
  <si>
    <t xml:space="preserve"> NINETY FOUR </t>
  </si>
  <si>
    <t xml:space="preserve"> NINETY FIVE </t>
  </si>
  <si>
    <t xml:space="preserve"> NINETY SIX</t>
  </si>
  <si>
    <t xml:space="preserve"> NINETY SEVEN </t>
  </si>
  <si>
    <t xml:space="preserve"> NINETY EIGHT </t>
  </si>
  <si>
    <t xml:space="preserve"> NINETY NINE</t>
  </si>
  <si>
    <t>CCA</t>
  </si>
  <si>
    <t>PHC ALVENCE</t>
  </si>
  <si>
    <t>STO, ADDANKI</t>
  </si>
  <si>
    <t>SBI,ADDANKI</t>
  </si>
  <si>
    <t>B.F.</t>
  </si>
  <si>
    <t>YOUR EDUCATIONAL DIVISION NAME</t>
  </si>
  <si>
    <t>F.P</t>
  </si>
  <si>
    <r>
      <t xml:space="preserve">Permanent / </t>
    </r>
    <r>
      <rPr>
        <strike/>
        <sz val="10"/>
        <rFont val="Arial"/>
        <family val="2"/>
      </rPr>
      <t>Temporary</t>
    </r>
  </si>
  <si>
    <t>PROCEEDINGS DATE</t>
  </si>
  <si>
    <t>:Rs</t>
  </si>
  <si>
    <t>CONSOLIDATION</t>
  </si>
  <si>
    <t>Revised Pay scales, 2010</t>
  </si>
  <si>
    <t>PAPER TOKEN</t>
  </si>
  <si>
    <t>STO Code:</t>
  </si>
  <si>
    <t>STO Name:</t>
  </si>
  <si>
    <t>Date:……………………</t>
  </si>
  <si>
    <t>DDO Code:</t>
  </si>
  <si>
    <t>Trans ID:</t>
  </si>
  <si>
    <t>DDO Designation:</t>
  </si>
  <si>
    <t>DDO Office Name:</t>
  </si>
  <si>
    <t>Bank Branch Code:</t>
  </si>
  <si>
    <t>Name:</t>
  </si>
  <si>
    <t>Head of Account:</t>
  </si>
  <si>
    <t>(Major Head)</t>
  </si>
  <si>
    <t>(Sub-MH)</t>
  </si>
  <si>
    <t>(Minor Head)</t>
  </si>
  <si>
    <t>(Grp-SH)</t>
  </si>
  <si>
    <t>(Sub-Head)</t>
  </si>
  <si>
    <t>(Det.Head)</t>
  </si>
  <si>
    <t>(Sub Det.Head)</t>
  </si>
  <si>
    <t>Non-Plan=N/</t>
  </si>
  <si>
    <t>Charged=C/</t>
  </si>
  <si>
    <t>Contingency Fund MH/</t>
  </si>
  <si>
    <t>Plan=P:</t>
  </si>
  <si>
    <t>Voted=V</t>
  </si>
  <si>
    <t>GROSS Rs</t>
  </si>
  <si>
    <t>Deductions Rs</t>
  </si>
  <si>
    <t>Net Rs</t>
  </si>
  <si>
    <t>NET</t>
  </si>
  <si>
    <t>Messenger Name:</t>
  </si>
  <si>
    <t>Designation :</t>
  </si>
  <si>
    <t>(As in APTC form-101)</t>
  </si>
  <si>
    <t>Specimen Signature of Messenger</t>
  </si>
  <si>
    <t>DDO Signature</t>
  </si>
  <si>
    <t>Attested</t>
  </si>
  <si>
    <t>STO Signature</t>
  </si>
  <si>
    <t>DDOSignature</t>
  </si>
  <si>
    <t>A.P.T.C. FORM-101</t>
  </si>
  <si>
    <t>(See Subsidiary Rule2(w) Under Treasury Rule 15</t>
  </si>
  <si>
    <t>Govt.Memo No.38907/Accounts/ 65-5,Dt.21-02-1963)</t>
  </si>
  <si>
    <t>DDO CODE:</t>
  </si>
  <si>
    <t>Treasury / PAO Code:</t>
  </si>
  <si>
    <t>Treasury / PAO  NAME:</t>
  </si>
  <si>
    <t>The Treasury Officer/Manager</t>
  </si>
  <si>
    <t xml:space="preserve">State Bank of India, </t>
  </si>
  <si>
    <t xml:space="preserve">Please Pay Bill No.          </t>
  </si>
  <si>
    <t>Dated:</t>
  </si>
  <si>
    <t xml:space="preserve">                  for  Rs.</t>
  </si>
  <si>
    <t xml:space="preserve">to Sri   </t>
  </si>
  <si>
    <t>for the office of the</t>
  </si>
  <si>
    <t>whose specimen signature is attested here with.</t>
  </si>
  <si>
    <t>Signature of the Govt. Servant</t>
  </si>
  <si>
    <t>Received the payment</t>
  </si>
  <si>
    <t>Dated :</t>
  </si>
  <si>
    <t>Signature of the D.D.O.</t>
  </si>
  <si>
    <t>Signature of the Govt.</t>
  </si>
  <si>
    <t>Servant receiving the payment</t>
  </si>
  <si>
    <t>(Employ wise details)</t>
  </si>
  <si>
    <t>To be furnished by the DDO in triplicate along with the bill</t>
  </si>
  <si>
    <t>Name of the NPB:      S.B.I.       ADDANKI</t>
  </si>
  <si>
    <r>
      <t xml:space="preserve">DDO CODE        :             </t>
    </r>
    <r>
      <rPr>
        <sz val="10"/>
        <rFont val="Arial"/>
        <family val="2"/>
      </rPr>
      <t xml:space="preserve">  </t>
    </r>
    <r>
      <rPr>
        <sz val="10"/>
        <rFont val="Arial"/>
        <family val="0"/>
      </rPr>
      <t xml:space="preserve">         </t>
    </r>
  </si>
  <si>
    <r>
      <t xml:space="preserve">             </t>
    </r>
    <r>
      <rPr>
        <b/>
        <sz val="10"/>
        <rFont val="Arial"/>
        <family val="2"/>
      </rPr>
      <t xml:space="preserve"> Date  :</t>
    </r>
  </si>
  <si>
    <t xml:space="preserve">DDO  Desig        :                        </t>
  </si>
  <si>
    <t>Trance ID No :</t>
  </si>
  <si>
    <t>Employee Name</t>
  </si>
  <si>
    <t>Employee Account No.</t>
  </si>
  <si>
    <t>Amount to be cerdited</t>
  </si>
  <si>
    <t>DDO Signature:</t>
  </si>
  <si>
    <t>Signature of TO.</t>
  </si>
  <si>
    <t>(with seal)</t>
  </si>
  <si>
    <t>(Notified Link Bank Report)</t>
  </si>
  <si>
    <t>To be furnished by the DDO in triplicate</t>
  </si>
  <si>
    <t>DDO Code              :</t>
  </si>
  <si>
    <t xml:space="preserve">DDO Name &amp; Desig:                  </t>
  </si>
  <si>
    <t xml:space="preserve">Name of NLB          : </t>
  </si>
  <si>
    <t>Trans ID No:</t>
  </si>
  <si>
    <t>Name of the NPB</t>
  </si>
  <si>
    <t>Purpose</t>
  </si>
  <si>
    <t>Ammount to be credited</t>
  </si>
  <si>
    <t>Signature of S.T.O.</t>
  </si>
  <si>
    <t>EMPLOYEE CODE</t>
  </si>
  <si>
    <t>BANK ACCOUNT NO.</t>
  </si>
  <si>
    <t>G.P.F / ZPPF NO.</t>
  </si>
  <si>
    <t>NAME OF THE MESSENGER</t>
  </si>
  <si>
    <t>Bill Data</t>
  </si>
  <si>
    <t>DDO Data</t>
  </si>
  <si>
    <t>Individual Data</t>
  </si>
  <si>
    <t>WORK SHEET</t>
  </si>
  <si>
    <t>RUPEES :</t>
  </si>
  <si>
    <t xml:space="preserve"> ONLY</t>
  </si>
  <si>
    <t xml:space="preserve"> NINETEEN </t>
  </si>
  <si>
    <t xml:space="preserve"> NINETY </t>
  </si>
  <si>
    <t>Elementry Education</t>
  </si>
  <si>
    <t>Secondary Education</t>
  </si>
  <si>
    <r>
      <t xml:space="preserve">SCALE OF PAY ( </t>
    </r>
    <r>
      <rPr>
        <b/>
        <sz val="10"/>
        <color indexed="10"/>
        <rFont val="Arial"/>
        <family val="2"/>
      </rPr>
      <t xml:space="preserve">AFTER PROMOTION </t>
    </r>
    <r>
      <rPr>
        <b/>
        <sz val="10"/>
        <rFont val="Arial"/>
        <family val="2"/>
      </rPr>
      <t>)</t>
    </r>
  </si>
  <si>
    <r>
      <t xml:space="preserve">POST HELD ( </t>
    </r>
    <r>
      <rPr>
        <b/>
        <sz val="10"/>
        <color indexed="10"/>
        <rFont val="Arial"/>
        <family val="2"/>
      </rPr>
      <t xml:space="preserve">AFTER PROMOTION </t>
    </r>
    <r>
      <rPr>
        <b/>
        <sz val="10"/>
        <rFont val="Arial"/>
        <family val="2"/>
      </rPr>
      <t>)</t>
    </r>
  </si>
  <si>
    <t>MESSENGER DESIGNATION</t>
  </si>
  <si>
    <r>
      <t>BILL CLAIMED UPTO (</t>
    </r>
    <r>
      <rPr>
        <b/>
        <sz val="10"/>
        <color indexed="10"/>
        <rFont val="Arial"/>
        <family val="2"/>
      </rPr>
      <t>LAST DAY OF MONTH</t>
    </r>
    <r>
      <rPr>
        <b/>
        <sz val="10"/>
        <rFont val="Arial"/>
        <family val="2"/>
      </rPr>
      <t>)</t>
    </r>
  </si>
  <si>
    <t>TYPE OF SCHOOL NOW WORKING</t>
  </si>
  <si>
    <r>
      <t xml:space="preserve">WHETHER </t>
    </r>
    <r>
      <rPr>
        <b/>
        <sz val="10"/>
        <color indexed="10"/>
        <rFont val="Arial"/>
        <family val="2"/>
      </rPr>
      <t>SUBSTANTIVE</t>
    </r>
    <r>
      <rPr>
        <b/>
        <sz val="10"/>
        <rFont val="Arial"/>
        <family val="2"/>
      </rPr>
      <t xml:space="preserve"> OR </t>
    </r>
    <r>
      <rPr>
        <b/>
        <sz val="10"/>
        <color indexed="10"/>
        <rFont val="Arial"/>
        <family val="2"/>
      </rPr>
      <t>OFFICIATING</t>
    </r>
  </si>
  <si>
    <r>
      <t xml:space="preserve">NAME OF THE D.D.O.( </t>
    </r>
    <r>
      <rPr>
        <b/>
        <sz val="10"/>
        <color indexed="10"/>
        <rFont val="Arial"/>
        <family val="2"/>
      </rPr>
      <t>IF G.H.M. Enter Dy.E.O.</t>
    </r>
    <r>
      <rPr>
        <b/>
        <sz val="10"/>
        <rFont val="Arial"/>
        <family val="2"/>
      </rPr>
      <t xml:space="preserve"> )</t>
    </r>
  </si>
  <si>
    <r>
      <t xml:space="preserve">HRA%  </t>
    </r>
    <r>
      <rPr>
        <b/>
        <sz val="10"/>
        <color indexed="10"/>
        <rFont val="Arial"/>
        <family val="2"/>
      </rPr>
      <t>CHANGED</t>
    </r>
    <r>
      <rPr>
        <b/>
        <sz val="10"/>
        <rFont val="Arial"/>
        <family val="2"/>
      </rPr>
      <t xml:space="preserve"> </t>
    </r>
    <r>
      <rPr>
        <b/>
        <sz val="10"/>
        <color indexed="10"/>
        <rFont val="Arial"/>
        <family val="2"/>
      </rPr>
      <t>DATE</t>
    </r>
  </si>
  <si>
    <r>
      <t xml:space="preserve">PROMO. FIX. OPTED </t>
    </r>
    <r>
      <rPr>
        <b/>
        <sz val="10"/>
        <color indexed="10"/>
        <rFont val="Arial"/>
        <family val="2"/>
      </rPr>
      <t>(D.O.P. / NEXT INCRE.)</t>
    </r>
  </si>
  <si>
    <t>VILLAGE / TOWN</t>
  </si>
  <si>
    <t>BILL PART</t>
  </si>
  <si>
    <t xml:space="preserve"> THIRTY TWO </t>
  </si>
  <si>
    <t>A.P. STATE GOVERNMENT</t>
  </si>
  <si>
    <t>ANNEXURE - I</t>
  </si>
  <si>
    <t>ANNEXURE - II</t>
  </si>
  <si>
    <t xml:space="preserve"> UNDER RUPEES :</t>
  </si>
  <si>
    <t>IN THE MONTH OF</t>
  </si>
  <si>
    <t xml:space="preserve">                  The difference of pay and allowances from 01-07-2008 to 31-013-2010 are adjusted to notional. The fixation arrears for the period from </t>
  </si>
  <si>
    <t xml:space="preserve">in the revised pay scales 2010 from 01-03-2010 onwards will be paid in cash accordingly drawn as follows vide Proceedings </t>
  </si>
  <si>
    <t>Months</t>
  </si>
  <si>
    <t>10900-31550</t>
  </si>
  <si>
    <t>11530-33200</t>
  </si>
  <si>
    <t>18030-43630</t>
  </si>
  <si>
    <t>11530-330-12190-360-13270-390-14440-420-15700-450-17050-490-18520-530-20110-570-21820-610-23650-650-25600-700-27700-750-29950-800-31550-8</t>
  </si>
  <si>
    <t>Refunds or with Drawls</t>
  </si>
  <si>
    <t>10900-300-11200-330-12190-360-13270-390-14440-420-15700-450-17050-490-18520-530-20110-570-21820-610-23650-650-25600-700-27700-750-29950-800-31550</t>
  </si>
  <si>
    <t>APGLI No.</t>
  </si>
  <si>
    <t>APGLI PREMIUM</t>
  </si>
  <si>
    <t xml:space="preserve">PART - III ( CASH  FROM   01-03-2010 </t>
  </si>
  <si>
    <t>PART - I ( NOTIONAL )</t>
  </si>
  <si>
    <t>PART - II ( P.F. ADJESTMENT )</t>
  </si>
  <si>
    <t>PART - III ( CASH )</t>
  </si>
  <si>
    <t>TOTAL ( PART - II &amp; PART - III )</t>
  </si>
  <si>
    <t>PRC ARREAR CREDITED TO P.F.</t>
  </si>
  <si>
    <t>Trans ID No. :</t>
  </si>
  <si>
    <t xml:space="preserve">               Date :</t>
  </si>
  <si>
    <t>F.R.22 B</t>
  </si>
  <si>
    <t>has exceeded 45 years and hence he can not insure the life with Government Life Insurance Department.</t>
  </si>
  <si>
    <t xml:space="preserve">       Certified that the age of Sri</t>
  </si>
  <si>
    <t>ORDINARY</t>
  </si>
  <si>
    <t>DEPUTY EDUCATIONAL OFFICER</t>
  </si>
  <si>
    <t xml:space="preserve">Net </t>
  </si>
  <si>
    <t>GPF</t>
  </si>
  <si>
    <t>PART - I ( NOTIONAL FROM 01-07-2008 to 31-01-2010 = 19 MONTHS )</t>
  </si>
  <si>
    <t xml:space="preserve">Certified that the City Compensatory Allowance (CCA) is claimed in terms of G.O.M.S No.65 </t>
  </si>
  <si>
    <t>1-2-2010 to 28-2-2010 adjested to p.f. as per G.O.Ms.No.52 Finanace (PC-I) Department dated 25-02-2010.</t>
  </si>
  <si>
    <t>is opted to come under revised pay scales, 2010 with effect from</t>
  </si>
  <si>
    <t>SANNAMURI MARUTHI</t>
  </si>
  <si>
    <t>SCHOOL ASSISTANT (MATHS)</t>
  </si>
  <si>
    <t xml:space="preserve">Z.P.H. SCHOOL </t>
  </si>
  <si>
    <t>PRAKASAM DIST.</t>
  </si>
  <si>
    <t>GUIDED BY</t>
  </si>
  <si>
    <t>AAVULA THIRUMALESH</t>
  </si>
  <si>
    <t>HEADMASTER</t>
  </si>
  <si>
    <t>DAMMALAPADU</t>
  </si>
  <si>
    <t>MUPPALLA MANDAL</t>
  </si>
  <si>
    <t>GUNTUR DIST.</t>
  </si>
  <si>
    <t xml:space="preserve">THIS IS A FREE SOFTWARE PREPARED FOR THE BENEFIT OF A.P. UNITED TEACHERS FEDERATION </t>
  </si>
  <si>
    <t>PARCHOOR</t>
  </si>
  <si>
    <t>zppf/g.p.f</t>
  </si>
  <si>
    <t>Z.P.P.F.</t>
  </si>
  <si>
    <t>AGE EXEMPTION</t>
  </si>
  <si>
    <t>YES</t>
  </si>
  <si>
    <t>NO</t>
  </si>
  <si>
    <t>TYPE SCHOOL</t>
  </si>
  <si>
    <t>SUBSTANTIVE</t>
  </si>
  <si>
    <t>OFFICIATING</t>
  </si>
  <si>
    <t>JANUARY</t>
  </si>
  <si>
    <t>MARCH</t>
  </si>
  <si>
    <t>APRIL</t>
  </si>
  <si>
    <t>MAY</t>
  </si>
  <si>
    <t>JUNE</t>
  </si>
  <si>
    <t>JULY</t>
  </si>
  <si>
    <t>AUGUST</t>
  </si>
  <si>
    <t>SEPTEMBER</t>
  </si>
  <si>
    <t>OCTOBER</t>
  </si>
  <si>
    <t>NOVEMBER</t>
  </si>
  <si>
    <t>DECEMBER</t>
  </si>
  <si>
    <t>FEBRUARY</t>
  </si>
  <si>
    <r>
      <t>INCREMENT MONTH ( ON 1ST JULY 2008</t>
    </r>
    <r>
      <rPr>
        <b/>
        <sz val="12"/>
        <color indexed="10"/>
        <rFont val="Arial"/>
        <family val="2"/>
      </rPr>
      <t xml:space="preserve"> </t>
    </r>
    <r>
      <rPr>
        <b/>
        <sz val="10"/>
        <rFont val="Arial"/>
        <family val="2"/>
      </rPr>
      <t>)</t>
    </r>
  </si>
  <si>
    <t>NEXT INCREMENT DATE</t>
  </si>
  <si>
    <t>HMA-40</t>
  </si>
  <si>
    <t>HMA-75</t>
  </si>
  <si>
    <t>CCA @HYD</t>
  </si>
  <si>
    <t>CCA @VIZ</t>
  </si>
  <si>
    <t>CCA@ OTHERS</t>
  </si>
  <si>
    <t>ALWANCES</t>
  </si>
  <si>
    <t>NIL</t>
  </si>
  <si>
    <t xml:space="preserve">G.P.F / ZPPF </t>
  </si>
  <si>
    <t>S.G</t>
  </si>
  <si>
    <t>S.P.P-1</t>
  </si>
  <si>
    <t>S.P.P.-II</t>
  </si>
  <si>
    <t>H.M.</t>
  </si>
  <si>
    <t>S.A.(P.S.)</t>
  </si>
  <si>
    <t>S.A.(B.S.)</t>
  </si>
  <si>
    <t>S.A.(S.S.)</t>
  </si>
  <si>
    <t>S.A.(ENG)</t>
  </si>
  <si>
    <t>S.A.(TEL)</t>
  </si>
  <si>
    <t>S.A.(HIN)</t>
  </si>
  <si>
    <t>S.A.(            )</t>
  </si>
  <si>
    <t>S.G.T.</t>
  </si>
  <si>
    <t>Gr.II(TEL)</t>
  </si>
  <si>
    <t>Gr.II(HIN)</t>
  </si>
  <si>
    <t>P.E.T.(     )</t>
  </si>
  <si>
    <t>Gr.II(CRAFT)</t>
  </si>
  <si>
    <t>DONAKONDA(MANDAL)</t>
  </si>
  <si>
    <t>MANGINAPUDI</t>
  </si>
  <si>
    <t>PRAKASAM(DT)</t>
  </si>
  <si>
    <t>TECHNICALLY GUIDED BY</t>
  </si>
  <si>
    <t>P.D</t>
  </si>
  <si>
    <t>M.P.P.School</t>
  </si>
  <si>
    <t>M.P.U.P.School</t>
  </si>
  <si>
    <t>Z.P.H.School</t>
  </si>
  <si>
    <t>G.PRIMARY.School</t>
  </si>
  <si>
    <t>G.H.School</t>
  </si>
  <si>
    <t>Name of the Teacher</t>
  </si>
  <si>
    <t>DO YOU HAVE EXEMPTION WITH AGE ?(APGLI)</t>
  </si>
  <si>
    <t>ARE  YOU A GAZITTED HEAD MASTER?</t>
  </si>
  <si>
    <t>L.F.L.(H.M.)</t>
  </si>
  <si>
    <t>PART -II ( Credited to P.F. from 01-02-2010 to 28-02-2010 ( 1 Month)</t>
  </si>
  <si>
    <r>
      <t xml:space="preserve">IF HRA </t>
    </r>
    <r>
      <rPr>
        <b/>
        <sz val="10"/>
        <color indexed="10"/>
        <rFont val="Arial"/>
        <family val="2"/>
      </rPr>
      <t>CHANGED</t>
    </r>
    <r>
      <rPr>
        <b/>
        <sz val="10"/>
        <rFont val="Arial"/>
        <family val="2"/>
      </rPr>
      <t xml:space="preserve"> THEN CHANGED </t>
    </r>
    <r>
      <rPr>
        <b/>
        <sz val="10"/>
        <color indexed="10"/>
        <rFont val="Arial"/>
        <family val="2"/>
      </rPr>
      <t>HRA %</t>
    </r>
  </si>
  <si>
    <t>Remarks</t>
  </si>
  <si>
    <t>1.G.O.Ms No.52 Finance  Dept., dated: 25-02-2010</t>
  </si>
  <si>
    <t>Certified that the H.R.A. is claimed in terms of G.O.Ms.No.64 Finance Dept.,dated : 09-03-2010</t>
  </si>
  <si>
    <t>Certified that the D.A.is claimed in terms of  G.O.Ms.No.63 Finance Dept.,dated.09-03-2010</t>
  </si>
  <si>
    <t>Certified that the pay is fixed in terms of G.O.Ms. NO.52 Finance Dept.,dated.25-02-2010</t>
  </si>
  <si>
    <t>dated :7/04/2010</t>
  </si>
  <si>
    <t>19050-45850</t>
  </si>
  <si>
    <t>19050-530-20110-570-21820-610-23650-650-25600-700-27700-750-29950-800-32350-850-34900-900-37600-970-40510-1040-43630-1110-45860</t>
  </si>
  <si>
    <t>B Pay</t>
  </si>
  <si>
    <t>D A</t>
  </si>
  <si>
    <t>HRA</t>
  </si>
  <si>
    <t>Period</t>
  </si>
  <si>
    <t>Days</t>
  </si>
  <si>
    <t>Already drawn</t>
  </si>
  <si>
    <t>Difference</t>
  </si>
  <si>
    <t>HMA-60</t>
  </si>
  <si>
    <t>P.P.</t>
  </si>
  <si>
    <t>F.P.</t>
  </si>
  <si>
    <t>Head of Account: "0028 Other Taxes on income &amp; Expenditure MR.. 107 Taxes on profession</t>
  </si>
  <si>
    <t>Sl.No.</t>
  </si>
  <si>
    <t>Amount of Recovery</t>
  </si>
  <si>
    <t>PLEASE READ THE INSTRECTIONS CAREFULLY BEFORE FILL THE WORK SHEET</t>
  </si>
  <si>
    <t xml:space="preserve">STATEMENT SHOWING THE SCHEDULE RECOVERY OF PROFESSIONAL TAX IN PRC 2010 BILL OF </t>
  </si>
  <si>
    <t>OLD GROSS</t>
  </si>
  <si>
    <t>NEW GROSS</t>
  </si>
  <si>
    <t>NEW P.T.</t>
  </si>
  <si>
    <t>OLD P.T.</t>
  </si>
  <si>
    <t>MONTH</t>
  </si>
  <si>
    <t>Name of the Employee &amp; Degn</t>
  </si>
  <si>
    <t xml:space="preserve">from 1-02-10 to </t>
  </si>
  <si>
    <t>Eligible</t>
  </si>
  <si>
    <t xml:space="preserve"> / 2010-11</t>
  </si>
  <si>
    <t>Budget allocation for the year 2010-2011</t>
  </si>
  <si>
    <t>Trades Calling and Employment S.H.01 Receipt (from) four professions                                                    Trades Calling and Employment"</t>
  </si>
  <si>
    <t>S.A.(M)</t>
  </si>
  <si>
    <t>Automatic Advancement increments on</t>
  </si>
  <si>
    <t>Monitory benefit from</t>
  </si>
  <si>
    <t>He/She has S.G./S.PP-1/S.P.P-II/S.A.PP.-1/S.A.P.P.-II increments on</t>
  </si>
  <si>
    <t>Finance  Dept.,dated :3/9/2010</t>
  </si>
  <si>
    <t>dated :7/4/2010</t>
  </si>
  <si>
    <t>Note: Total=B Pay+P.P.+F.P.+D.A+H.R.A+OTHER ALWENCES</t>
  </si>
  <si>
    <t>ADDANKI</t>
  </si>
  <si>
    <t>P. GURUCHANDRA PRASAD B.Sc,B.Ed.,</t>
  </si>
  <si>
    <t>M.VENKATESWARLU</t>
  </si>
  <si>
    <t>/ 2011 - 12</t>
  </si>
  <si>
    <r>
      <t xml:space="preserve">POST HELD ( </t>
    </r>
    <r>
      <rPr>
        <b/>
        <sz val="10"/>
        <color indexed="10"/>
        <rFont val="Arial"/>
        <family val="2"/>
      </rPr>
      <t>AS</t>
    </r>
    <r>
      <rPr>
        <b/>
        <sz val="10"/>
        <rFont val="Arial"/>
        <family val="2"/>
      </rPr>
      <t xml:space="preserve"> </t>
    </r>
    <r>
      <rPr>
        <b/>
        <sz val="10"/>
        <color indexed="10"/>
        <rFont val="Arial"/>
        <family val="2"/>
      </rPr>
      <t xml:space="preserve">ON 1/02/2010 </t>
    </r>
    <r>
      <rPr>
        <b/>
        <sz val="10"/>
        <rFont val="Arial"/>
        <family val="2"/>
      </rPr>
      <t>)</t>
    </r>
  </si>
  <si>
    <t>DATE OF JOIN IN THE  POST WHICH HELD ON 1/2/2010</t>
  </si>
  <si>
    <r>
      <t xml:space="preserve">BASIC PAY ( </t>
    </r>
    <r>
      <rPr>
        <b/>
        <sz val="10"/>
        <color indexed="10"/>
        <rFont val="Arial"/>
        <family val="2"/>
      </rPr>
      <t>AS</t>
    </r>
    <r>
      <rPr>
        <b/>
        <sz val="10"/>
        <rFont val="Arial"/>
        <family val="2"/>
      </rPr>
      <t xml:space="preserve"> </t>
    </r>
    <r>
      <rPr>
        <b/>
        <sz val="10"/>
        <color indexed="10"/>
        <rFont val="Arial"/>
        <family val="2"/>
      </rPr>
      <t>ON 1/2/2010</t>
    </r>
    <r>
      <rPr>
        <b/>
        <sz val="10"/>
        <rFont val="Arial"/>
        <family val="2"/>
      </rPr>
      <t xml:space="preserve"> )</t>
    </r>
  </si>
  <si>
    <t>HRA % (ON 1/2/2010)</t>
  </si>
  <si>
    <r>
      <t xml:space="preserve">DID YOU GET </t>
    </r>
    <r>
      <rPr>
        <b/>
        <sz val="10"/>
        <color indexed="10"/>
        <rFont val="Arial"/>
        <family val="2"/>
      </rPr>
      <t>PROMOTION</t>
    </r>
    <r>
      <rPr>
        <b/>
        <sz val="10"/>
        <rFont val="Arial"/>
        <family val="2"/>
      </rPr>
      <t xml:space="preserve"> </t>
    </r>
    <r>
      <rPr>
        <b/>
        <sz val="10"/>
        <color indexed="10"/>
        <rFont val="Arial"/>
        <family val="2"/>
      </rPr>
      <t>AFTER 01-02-2010?</t>
    </r>
  </si>
  <si>
    <t>IF PROMOTED</t>
  </si>
  <si>
    <r>
      <t xml:space="preserve">SCALE ( </t>
    </r>
    <r>
      <rPr>
        <b/>
        <sz val="10"/>
        <color indexed="10"/>
        <rFont val="Arial"/>
        <family val="2"/>
      </rPr>
      <t>ORDINARY / SG / SPP / SAPP</t>
    </r>
    <r>
      <rPr>
        <b/>
        <sz val="10"/>
        <rFont val="Arial"/>
        <family val="2"/>
      </rPr>
      <t xml:space="preserve"> ) ON 1/02/2010</t>
    </r>
  </si>
  <si>
    <t>S.A.P.P.-I</t>
  </si>
  <si>
    <t>S.A.P.P-II</t>
  </si>
  <si>
    <t>EOL DAYS</t>
  </si>
  <si>
    <t>C,DATE OF JOINING</t>
  </si>
  <si>
    <t>EOL EVALUATE DATE</t>
  </si>
  <si>
    <t>PROMOTION DATE</t>
  </si>
  <si>
    <t>MIN(PRO,BILL)</t>
  </si>
  <si>
    <t>HRA CHANGE DATE</t>
  </si>
  <si>
    <t>8/16/24 DATE</t>
  </si>
  <si>
    <t>increment date</t>
  </si>
  <si>
    <t>promotion date</t>
  </si>
  <si>
    <t>ALREADY DRAWN INCREMENTS</t>
  </si>
  <si>
    <t xml:space="preserve"> 6/12/18/24 DATE</t>
  </si>
  <si>
    <t>TO BE DRAWN INCREMENTS</t>
  </si>
  <si>
    <t>already drawn</t>
  </si>
  <si>
    <t>tobr drawn</t>
  </si>
  <si>
    <t>d.a.</t>
  </si>
  <si>
    <t>10 &amp;12</t>
  </si>
  <si>
    <t>12.5&amp;14.5</t>
  </si>
  <si>
    <t>h.r.a,stt</t>
  </si>
  <si>
    <t>hra</t>
  </si>
  <si>
    <t>days in month</t>
  </si>
  <si>
    <t>a d b amount</t>
  </si>
  <si>
    <t>t d b amount</t>
  </si>
  <si>
    <t>da</t>
  </si>
  <si>
    <t>td da</t>
  </si>
  <si>
    <t>tb hra</t>
  </si>
  <si>
    <t>PART -III (CASH for period from 1/06/2011 to</t>
  </si>
  <si>
    <t>2.G.O.Ms.No.96 Fin(P.C.-II)Dept, Dt:20/05/2011</t>
  </si>
  <si>
    <t>date of first appointment</t>
  </si>
  <si>
    <t>date of regularigation</t>
  </si>
  <si>
    <t>daate of compleation of 6/12/18/24 years</t>
  </si>
  <si>
    <t>perticulars of eol valied</t>
  </si>
  <si>
    <t>pay and scale of pay as on 1/11/2010</t>
  </si>
  <si>
    <t>pay in spoecial grade fixation as per fr.22a(i) on 1/11/2010</t>
  </si>
  <si>
    <t>ARE YOU HAVE E.O.L.s IN THIS CADRE?</t>
  </si>
  <si>
    <t>FROM</t>
  </si>
  <si>
    <t>TO</t>
  </si>
  <si>
    <t>S.G./SPP-1/SPP-II</t>
  </si>
  <si>
    <t>S.G./S.P.P-I/S.A.PP.-II</t>
  </si>
  <si>
    <t>S.G./S.A.PP-I/SAPP-II</t>
  </si>
  <si>
    <t>FILL THE DATES (MM/DD/YYYY)FORM</t>
  </si>
  <si>
    <t>CHOOSE THE PATRON DO YOU HAVE?</t>
  </si>
  <si>
    <t>D.A.%</t>
  </si>
  <si>
    <t>H.R.A%</t>
  </si>
  <si>
    <t>OR</t>
  </si>
  <si>
    <t>SG</t>
  </si>
  <si>
    <t>SPP-I</t>
  </si>
  <si>
    <t>SPP-II</t>
  </si>
  <si>
    <t>SAPP-I</t>
  </si>
  <si>
    <t>SAPP-II</t>
  </si>
  <si>
    <t>11530-330-12190-360-13270-390-14440-420-15700-450-17050-490-18520-530-20110-570-21820-610-23650-650-25600-700-27700-750-29950-800-32350-850-33200</t>
  </si>
  <si>
    <t>11860-330-12190-360-13270-390-14440-420-15700-450-17050-490-18520-530-20110-570-21820-610-23650-650-25600-700-27700-750-29950-800-32350-850-34050</t>
  </si>
  <si>
    <t>15280-450-17050-490-18520-530-20110-570-21820-610-23650-650-25600-700-27700-750-29950-800-32350-850-34900-900-37600-970-40510</t>
  </si>
  <si>
    <t>16150-450-17050-490-18520-530-20110-570-21820-610-23650-650-25600-700-27700-750-29950-800-32350-850-34900-900-37600-970-40510-1040-42590</t>
  </si>
  <si>
    <t>18030-530-20110-570-21820-610-23650-650-25600-700-27700-750-29950-800-32350-850-34900-900-37600-970-40510-1040-43630</t>
  </si>
  <si>
    <t>19050-530-20110-570-21820-610-23650-650-25600-700-27700-750-29950-800-32350-850-34900-900-37600-970-40510-1040-43630-1110-45850</t>
  </si>
  <si>
    <t>20680-570-21820-610-23650-650-25600-700-27700-750-29950-800-32350-850-34900-900-37600-970-40510-1040-43630-1110-46960</t>
  </si>
  <si>
    <t>21820-610-23650-650-25600-700-27700-750-29950-800-32350-850-34900-900-37600-970-40510-1040-43630-1110-46960-1200-48160</t>
  </si>
  <si>
    <t>Gr.II(DRAW)</t>
  </si>
  <si>
    <t>PR.SCALE</t>
  </si>
  <si>
    <t>AAS GRADE</t>
  </si>
  <si>
    <t>Pay and Scale of pay as on</t>
  </si>
  <si>
    <t>Date of next increment</t>
  </si>
  <si>
    <t>date of next increment</t>
  </si>
  <si>
    <t xml:space="preserve">           The arrears of pay fixations under AAS in RPS-2010 from 01-02-2010 to 31-05-2011 will be credited in G.P.F./Z.P.P.F. Accout.From 01-06-2011 will be paid in cash</t>
  </si>
  <si>
    <t xml:space="preserve">      In the pay is found erroneous at any time the excess amount paid to the individual will be recovered in lumpsum without any prior notice.</t>
  </si>
  <si>
    <t>PUT '0'(1/0/1900) IN THE REMAINING BOXES</t>
  </si>
  <si>
    <t>2) Certified that amount claimed in the bill not drawn earlier.</t>
  </si>
  <si>
    <t>0718386</t>
  </si>
  <si>
    <t>2/AAS/2011</t>
  </si>
  <si>
    <t>P.T</t>
  </si>
  <si>
    <t>ARE YOU TAKEN 8/16/24 AFTER 01-02-2010?</t>
  </si>
  <si>
    <t>Total for cash Adjustment (FROM 1/6/2011)</t>
  </si>
  <si>
    <t>Basic pay</t>
  </si>
  <si>
    <t>Basic after incremt</t>
  </si>
  <si>
    <t>scale of pay</t>
  </si>
  <si>
    <t>11860-34050</t>
  </si>
  <si>
    <t>16150-42590</t>
  </si>
  <si>
    <t>20680-46960</t>
  </si>
  <si>
    <t>21820-48160</t>
  </si>
  <si>
    <t>prpost</t>
  </si>
  <si>
    <t>PROPOST</t>
  </si>
  <si>
    <t>FR.22B ON</t>
  </si>
  <si>
    <t>FR.22a(i) ON</t>
  </si>
  <si>
    <t>1) AAS benefits from 01/02/2010 to 31/05/2011is credited individual G.P.F./Z.P.P.F. A/C and arrear from the month of 06/2011 is paid in cash</t>
  </si>
  <si>
    <t>WISH YOU ALL THE BEST</t>
  </si>
  <si>
    <t>Mail ID: maruthisannamuri@rediffmail.com</t>
  </si>
  <si>
    <t>Mail ID: srinivasarao.thanga@gmail.com</t>
  </si>
  <si>
    <t>Mail ID: thirumalaaavula@rediffmail.com</t>
  </si>
  <si>
    <t>Site URL: http://iteacherz.blogspot.com</t>
  </si>
  <si>
    <r>
      <t xml:space="preserve">SELECT THE WORK SHEET "TAB" AND FILL THE DATA IN </t>
    </r>
    <r>
      <rPr>
        <b/>
        <sz val="12"/>
        <color indexed="12"/>
        <rFont val="Arial"/>
        <family val="2"/>
      </rPr>
      <t>BLUE COLOUR</t>
    </r>
    <r>
      <rPr>
        <b/>
        <sz val="12"/>
        <color indexed="14"/>
        <rFont val="Arial"/>
        <family val="2"/>
      </rPr>
      <t xml:space="preserve"> CELLS  AND TAKE THE PRINT IN LEGAL SHEETS</t>
    </r>
  </si>
  <si>
    <t>AMPLE CARE HAS BEEN TAKEN IN PREPARING THIS EXCEL BOOK. WE ARE NOT RESPONSEBLE FOR ANY IRREGULARITY DONE BY USING THIS EXCEL BOOK.</t>
  </si>
  <si>
    <t>MAKE USE OF THIS EXCEL BOOK AND DO THE AAS BILLS AT  THE EARLIEST POSSIBLE</t>
  </si>
  <si>
    <t>4.</t>
  </si>
  <si>
    <t>5.</t>
  </si>
  <si>
    <t>6.</t>
  </si>
  <si>
    <t>7.</t>
  </si>
  <si>
    <t>INSTRUCTIONS TO USE THE AUTOMATIC ADVANCEMENT SCHEME (AAS) SOFTWARE</t>
  </si>
  <si>
    <t>MEMBERS OF UTF PRAKASAM</t>
  </si>
  <si>
    <r>
      <t xml:space="preserve">THIS IS </t>
    </r>
    <r>
      <rPr>
        <b/>
        <sz val="12"/>
        <color indexed="12"/>
        <rFont val="Arial"/>
        <family val="2"/>
      </rPr>
      <t>MAY NOT BE WORK FOR 18 YEARS SCALE IN THE PROMOTION POST</t>
    </r>
  </si>
  <si>
    <r>
      <t xml:space="preserve">THE TEACHERS SHOULD CAREFUL AT SCALES IN THE PROCEEDINGS FOR 24 YEARS SCALE HOLDERS (ie </t>
    </r>
    <r>
      <rPr>
        <b/>
        <sz val="12"/>
        <color indexed="12"/>
        <rFont val="Arial"/>
        <family val="2"/>
      </rPr>
      <t>THEY HAVE TO ENTER THE REMARKS COLUMN MANUALLY IN PROCEEDINGS)</t>
    </r>
  </si>
  <si>
    <r>
      <t xml:space="preserve">IF YOU WANT CHANGE MANUALLY UNPROTECT ANY SHEET OTHER THAN INSTRUCTIONS AND WORKSHEET, PASSWORD IS </t>
    </r>
    <r>
      <rPr>
        <b/>
        <sz val="12"/>
        <color indexed="12"/>
        <rFont val="Arial"/>
        <family val="2"/>
      </rPr>
      <t>dheeraj</t>
    </r>
  </si>
  <si>
    <t>SINCE THIS IS MACRO ENABLED WORK BOOK, DO THE FOLLOWING</t>
  </si>
  <si>
    <t>THIS SOFTWARE WILL BE WORKED ONLY IN MS EXCEL 2007 ONLY</t>
  </si>
  <si>
    <t>8.</t>
  </si>
  <si>
    <r>
      <t xml:space="preserve">2. Click </t>
    </r>
    <r>
      <rPr>
        <b/>
        <sz val="11"/>
        <color indexed="56"/>
        <rFont val="Arial"/>
        <family val="2"/>
      </rPr>
      <t>Trust Center</t>
    </r>
    <r>
      <rPr>
        <b/>
        <sz val="11"/>
        <color indexed="12"/>
        <rFont val="Arial"/>
        <family val="2"/>
      </rPr>
      <t xml:space="preserve">, click </t>
    </r>
    <r>
      <rPr>
        <b/>
        <sz val="11"/>
        <color indexed="56"/>
        <rFont val="Arial"/>
        <family val="2"/>
      </rPr>
      <t>Trust Center Settings</t>
    </r>
    <r>
      <rPr>
        <b/>
        <sz val="11"/>
        <color indexed="12"/>
        <rFont val="Arial"/>
        <family val="2"/>
      </rPr>
      <t xml:space="preserve">, and then click </t>
    </r>
    <r>
      <rPr>
        <b/>
        <sz val="11"/>
        <color indexed="56"/>
        <rFont val="Arial"/>
        <family val="2"/>
      </rPr>
      <t>Macro Settings</t>
    </r>
    <r>
      <rPr>
        <b/>
        <sz val="11"/>
        <color indexed="12"/>
        <rFont val="Arial"/>
        <family val="2"/>
      </rPr>
      <t xml:space="preserve">. </t>
    </r>
  </si>
  <si>
    <r>
      <t xml:space="preserve">3. Then check the radio button </t>
    </r>
    <r>
      <rPr>
        <b/>
        <sz val="11"/>
        <color indexed="56"/>
        <rFont val="Arial"/>
        <family val="2"/>
      </rPr>
      <t>Enable all macros.</t>
    </r>
  </si>
  <si>
    <r>
      <t xml:space="preserve">1. Click the Microsoft Office Button(          ), and then click </t>
    </r>
    <r>
      <rPr>
        <b/>
        <sz val="11"/>
        <color indexed="56"/>
        <rFont val="Arial"/>
        <family val="2"/>
      </rPr>
      <t>Excel Options.</t>
    </r>
  </si>
  <si>
    <t>SRINIVASARAO THANGA (                           )</t>
  </si>
  <si>
    <t>RUPEES ONE LAKH TWENTY EIGHT THOUSAND FOUR  HUNDRED AND EIGHTY EIGHT  ONLEY</t>
  </si>
  <si>
    <t>3.G.O.Ms No:40 Edn. Dept Dt: 07/02/02</t>
  </si>
  <si>
    <t>Perticulars of deportmental tests passed</t>
  </si>
  <si>
    <t>Perticulers of Educational Qualifications</t>
  </si>
  <si>
    <t>PERTICULERS OF DEPORTMENTAL TESTS PASSED</t>
  </si>
  <si>
    <t>E.O; G.O;</t>
  </si>
  <si>
    <t>P.A.T.</t>
  </si>
  <si>
    <t>S.O.T.</t>
  </si>
  <si>
    <t>P.A.T.;S.O.T.</t>
  </si>
  <si>
    <t>E.O; G.O;P.A.T.;S.O.T</t>
  </si>
  <si>
    <t>EDUCATIONAL QUALIFICATIONS</t>
  </si>
  <si>
    <t>Santion of subsequent increments</t>
  </si>
  <si>
    <t>4.Application exercised by the individual</t>
  </si>
  <si>
    <t>Total number of E.O.L. aviled</t>
  </si>
  <si>
    <t>L2105625D</t>
  </si>
  <si>
    <t>P.BRAMHANANDA REDDY</t>
  </si>
  <si>
    <t>MPPS,</t>
  </si>
  <si>
    <t>KURNOOL</t>
  </si>
  <si>
    <t>B.Sc.;B.Ed.;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</si>
</sst>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mmmm\-yy;@"/>
    <numFmt numFmtId="166" formatCode="[$-409]d\-mmm\-yy;@"/>
    <numFmt numFmtId="167" formatCode="m/d/yy;@"/>
    <numFmt numFmtId="168" formatCode="[$-409]mmm\-yy;@"/>
    <numFmt numFmtId="169" formatCode="[$-409]dd\-mmm\-yy;@"/>
    <numFmt numFmtId="170" formatCode="[$-409]mmm/yy;@"/>
    <numFmt numFmtId="171" formatCode="d/m/yy;@"/>
    <numFmt numFmtId="172" formatCode="dd/mm/yy;@"/>
    <numFmt numFmtId="173" formatCode="[$-409]d/mmm/yy;@"/>
    <numFmt numFmtId="174" formatCode="[$-409]dddd\,\ mmmm\ dd\,\ yyyy"/>
  </numFmts>
  <fonts count="94">
    <font>
      <sz val="10"/>
      <name val="Arial"/>
      <family val="0"/>
    </font>
    <font>
      <sz val="11"/>
      <color indexed="8"/>
      <name val="Calibri"/>
      <family val="2"/>
    </font>
    <font>
      <sz val="11"/>
      <name val="Arial"/>
      <family val="2"/>
    </font>
    <font>
      <b/>
      <sz val="11"/>
      <name val="Arial"/>
      <family val="2"/>
    </font>
    <font>
      <sz val="8"/>
      <name val="Arial"/>
      <family val="2"/>
    </font>
    <font>
      <b/>
      <sz val="14"/>
      <name val="Arial"/>
      <family val="2"/>
    </font>
    <font>
      <sz val="14"/>
      <name val="Arial"/>
      <family val="2"/>
    </font>
    <font>
      <sz val="7"/>
      <name val="Arial"/>
      <family val="2"/>
    </font>
    <font>
      <sz val="9"/>
      <name val="Arial"/>
      <family val="2"/>
    </font>
    <font>
      <sz val="12"/>
      <name val="Arial"/>
      <family val="2"/>
    </font>
    <font>
      <sz val="10"/>
      <color indexed="10"/>
      <name val="Arial"/>
      <family val="2"/>
    </font>
    <font>
      <u val="single"/>
      <sz val="10"/>
      <name val="Arial"/>
      <family val="2"/>
    </font>
    <font>
      <b/>
      <sz val="10"/>
      <name val="Arial"/>
      <family val="2"/>
    </font>
    <font>
      <b/>
      <sz val="12"/>
      <name val="Arial"/>
      <family val="2"/>
    </font>
    <font>
      <sz val="6"/>
      <name val="Arial"/>
      <family val="2"/>
    </font>
    <font>
      <b/>
      <sz val="10"/>
      <color indexed="8"/>
      <name val="Verdana"/>
      <family val="2"/>
    </font>
    <font>
      <b/>
      <sz val="10"/>
      <name val="Verdana"/>
      <family val="2"/>
    </font>
    <font>
      <b/>
      <sz val="10"/>
      <color indexed="12"/>
      <name val="Verdana"/>
      <family val="2"/>
    </font>
    <font>
      <sz val="10"/>
      <name val="Verdana"/>
      <family val="2"/>
    </font>
    <font>
      <sz val="10"/>
      <color indexed="9"/>
      <name val="Arial"/>
      <family val="2"/>
    </font>
    <font>
      <sz val="5"/>
      <name val="Arial"/>
      <family val="2"/>
    </font>
    <font>
      <sz val="10"/>
      <color indexed="12"/>
      <name val="Arial"/>
      <family val="2"/>
    </font>
    <font>
      <sz val="11"/>
      <color indexed="12"/>
      <name val="Arial"/>
      <family val="2"/>
    </font>
    <font>
      <sz val="8"/>
      <color indexed="12"/>
      <name val="Arial"/>
      <family val="2"/>
    </font>
    <font>
      <b/>
      <sz val="11"/>
      <color indexed="10"/>
      <name val="Arial"/>
      <family val="2"/>
    </font>
    <font>
      <b/>
      <sz val="8"/>
      <name val="Arial"/>
      <family val="2"/>
    </font>
    <font>
      <b/>
      <sz val="12"/>
      <name val="Verdana"/>
      <family val="2"/>
    </font>
    <font>
      <b/>
      <sz val="10"/>
      <name val="Arial Narrow"/>
      <family val="2"/>
    </font>
    <font>
      <b/>
      <sz val="9"/>
      <name val="Arial"/>
      <family val="2"/>
    </font>
    <font>
      <b/>
      <sz val="11"/>
      <name val="Verdana"/>
      <family val="2"/>
    </font>
    <font>
      <b/>
      <sz val="11"/>
      <color indexed="19"/>
      <name val="Arial"/>
      <family val="2"/>
    </font>
    <font>
      <sz val="11"/>
      <color indexed="18"/>
      <name val="Arial"/>
      <family val="2"/>
    </font>
    <font>
      <strike/>
      <sz val="10"/>
      <name val="Arial"/>
      <family val="2"/>
    </font>
    <font>
      <b/>
      <u val="single"/>
      <sz val="11"/>
      <color indexed="61"/>
      <name val="Arial"/>
      <family val="2"/>
    </font>
    <font>
      <b/>
      <sz val="11"/>
      <color indexed="61"/>
      <name val="Arial"/>
      <family val="2"/>
    </font>
    <font>
      <b/>
      <sz val="18"/>
      <name val="BankGothic Lt BT"/>
      <family val="2"/>
    </font>
    <font>
      <sz val="16"/>
      <name val="Arial"/>
      <family val="2"/>
    </font>
    <font>
      <b/>
      <sz val="11"/>
      <color indexed="12"/>
      <name val="Arial"/>
      <family val="2"/>
    </font>
    <font>
      <b/>
      <sz val="10"/>
      <color indexed="12"/>
      <name val="Arial"/>
      <family val="2"/>
    </font>
    <font>
      <b/>
      <sz val="10"/>
      <color indexed="10"/>
      <name val="Arial"/>
      <family val="2"/>
    </font>
    <font>
      <b/>
      <sz val="12"/>
      <color indexed="10"/>
      <name val="Arial"/>
      <family val="2"/>
    </font>
    <font>
      <sz val="11"/>
      <color indexed="9"/>
      <name val="Arial"/>
      <family val="2"/>
    </font>
    <font>
      <b/>
      <sz val="30"/>
      <color indexed="10"/>
      <name val="Arial"/>
      <family val="2"/>
    </font>
    <font>
      <b/>
      <sz val="24"/>
      <name val="Times New Roman"/>
      <family val="1"/>
    </font>
    <font>
      <b/>
      <sz val="24"/>
      <name val="Vikaas"/>
      <family val="5"/>
    </font>
    <font>
      <b/>
      <sz val="13"/>
      <name val="Arial"/>
      <family val="2"/>
    </font>
    <font>
      <b/>
      <sz val="18"/>
      <name val="Arial"/>
      <family val="2"/>
    </font>
    <font>
      <b/>
      <sz val="14"/>
      <name val="Times New Roman"/>
      <family val="1"/>
    </font>
    <font>
      <sz val="24"/>
      <name val="Times New Roman"/>
      <family val="1"/>
    </font>
    <font>
      <b/>
      <sz val="20"/>
      <name val="Times New Roman"/>
      <family val="1"/>
    </font>
    <font>
      <b/>
      <sz val="16"/>
      <name val="Arial"/>
      <family val="2"/>
    </font>
    <font>
      <b/>
      <sz val="10"/>
      <color indexed="14"/>
      <name val="Arial"/>
      <family val="2"/>
    </font>
    <font>
      <b/>
      <sz val="14"/>
      <color indexed="12"/>
      <name val="Arial"/>
      <family val="2"/>
    </font>
    <font>
      <b/>
      <sz val="11"/>
      <color indexed="17"/>
      <name val="Arial"/>
      <family val="2"/>
    </font>
    <font>
      <b/>
      <sz val="20"/>
      <color indexed="20"/>
      <name val="Arial"/>
      <family val="2"/>
    </font>
    <font>
      <b/>
      <sz val="14"/>
      <color indexed="12"/>
      <name val="16"/>
      <family val="0"/>
    </font>
    <font>
      <b/>
      <sz val="13"/>
      <color indexed="12"/>
      <name val="Arial"/>
      <family val="2"/>
    </font>
    <font>
      <b/>
      <sz val="12"/>
      <color indexed="20"/>
      <name val="Arial"/>
      <family val="2"/>
    </font>
    <font>
      <b/>
      <sz val="12"/>
      <color indexed="14"/>
      <name val="Arial"/>
      <family val="2"/>
    </font>
    <font>
      <b/>
      <sz val="12"/>
      <color indexed="12"/>
      <name val="Arial"/>
      <family val="2"/>
    </font>
    <font>
      <b/>
      <sz val="14"/>
      <color indexed="17"/>
      <name val="Arial"/>
      <family val="2"/>
    </font>
    <font>
      <b/>
      <sz val="14"/>
      <color indexed="20"/>
      <name val="Arial"/>
      <family val="2"/>
    </font>
    <font>
      <b/>
      <sz val="14"/>
      <color indexed="10"/>
      <name val="Arial"/>
      <family val="2"/>
    </font>
    <font>
      <sz val="14"/>
      <color indexed="10"/>
      <name val="Arial"/>
      <family val="2"/>
    </font>
    <font>
      <b/>
      <sz val="11"/>
      <color indexed="12"/>
      <name val="Verdana"/>
      <family val="2"/>
    </font>
    <font>
      <b/>
      <sz val="14"/>
      <color indexed="19"/>
      <name val="Arial"/>
      <family val="2"/>
    </font>
    <font>
      <b/>
      <u val="single"/>
      <sz val="10"/>
      <name val="Arial"/>
      <family val="2"/>
    </font>
    <font>
      <sz val="11"/>
      <name val="Arial Narrow"/>
      <family val="2"/>
    </font>
    <font>
      <b/>
      <i/>
      <sz val="18"/>
      <color indexed="9"/>
      <name val="Monotype Corsiva"/>
      <family val="4"/>
    </font>
    <font>
      <sz val="8"/>
      <name val="Tahoma"/>
      <family val="2"/>
    </font>
    <font>
      <b/>
      <sz val="8"/>
      <name val="Tahoma"/>
      <family val="2"/>
    </font>
    <font>
      <b/>
      <sz val="16"/>
      <color indexed="9"/>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10"/>
      <color indexed="62"/>
      <name val="Arial"/>
      <family val="2"/>
    </font>
    <font>
      <u val="single"/>
      <sz val="11.5"/>
      <color indexed="20"/>
      <name val="Arial"/>
      <family val="0"/>
    </font>
    <font>
      <sz val="10"/>
      <color indexed="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bgColor indexed="24"/>
      </patternFill>
    </fill>
    <fill>
      <patternFill patternType="solid">
        <fgColor indexed="41"/>
        <bgColor indexed="64"/>
      </patternFill>
    </fill>
    <fill>
      <patternFill patternType="gray0625">
        <bgColor indexed="51"/>
      </patternFill>
    </fill>
    <fill>
      <patternFill patternType="solid">
        <fgColor indexed="13"/>
        <bgColor indexed="64"/>
      </patternFill>
    </fill>
    <fill>
      <patternFill patternType="gray0625">
        <bgColor indexed="42"/>
      </patternFill>
    </fill>
    <fill>
      <patternFill patternType="solid">
        <fgColor indexed="8"/>
        <bgColor indexed="64"/>
      </patternFill>
    </fill>
    <fill>
      <patternFill patternType="solid">
        <fgColor indexed="21"/>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border>
    <border>
      <left style="thin"/>
      <right/>
      <top/>
      <bottom/>
    </border>
    <border>
      <left style="thin"/>
      <right/>
      <top/>
      <bottom style="thin"/>
    </border>
    <border>
      <left/>
      <right/>
      <top/>
      <bottom style="thin"/>
    </border>
    <border>
      <left/>
      <right style="medium"/>
      <top/>
      <bottom style="thin"/>
    </border>
    <border>
      <left style="thin"/>
      <right/>
      <top style="thin"/>
      <bottom style="thin"/>
    </border>
    <border>
      <left style="medium"/>
      <right/>
      <top/>
      <bottom style="medium"/>
    </border>
    <border>
      <left/>
      <right/>
      <top/>
      <bottom style="medium"/>
    </border>
    <border>
      <left/>
      <right style="medium"/>
      <top/>
      <bottom style="medium"/>
    </border>
    <border>
      <left/>
      <right style="thin"/>
      <top/>
      <bottom/>
    </border>
    <border>
      <left style="medium"/>
      <right/>
      <top/>
      <bottom style="thin"/>
    </border>
    <border>
      <left/>
      <right style="thin"/>
      <top/>
      <bottom style="thin"/>
    </border>
    <border>
      <left/>
      <right/>
      <top style="thin"/>
      <bottom style="thin"/>
    </border>
    <border>
      <left/>
      <right/>
      <top style="hair"/>
      <bottom/>
    </border>
    <border>
      <left/>
      <right style="thin"/>
      <top style="hair"/>
      <bottom/>
    </border>
    <border>
      <left style="medium"/>
      <right/>
      <top style="medium"/>
      <bottom/>
    </border>
    <border>
      <left/>
      <right/>
      <top style="medium"/>
      <bottom/>
    </border>
    <border>
      <left/>
      <right style="medium"/>
      <top style="medium"/>
      <bottom/>
    </border>
    <border>
      <left/>
      <right style="thin"/>
      <top/>
      <bottom style="medium"/>
    </border>
    <border>
      <left/>
      <right style="medium"/>
      <top style="hair"/>
      <bottom/>
    </border>
    <border>
      <left style="thin"/>
      <right style="thin"/>
      <top/>
      <bottom style="thin"/>
    </border>
    <border>
      <left/>
      <right style="thin"/>
      <top style="thin"/>
      <bottom style="thin"/>
    </border>
    <border>
      <left/>
      <right/>
      <top style="thin"/>
      <bottom/>
    </border>
    <border>
      <left/>
      <right style="double"/>
      <top/>
      <bottom/>
    </border>
    <border>
      <left style="double"/>
      <right/>
      <top/>
      <bottom/>
    </border>
    <border>
      <left style="thin"/>
      <right style="double"/>
      <top style="thin"/>
      <bottom style="thin"/>
    </border>
    <border>
      <left/>
      <right style="double"/>
      <top/>
      <bottom style="thin"/>
    </border>
    <border>
      <left/>
      <right style="double"/>
      <top style="thin"/>
      <bottom/>
    </border>
    <border>
      <left style="double"/>
      <right/>
      <top style="thin"/>
      <bottom style="thin"/>
    </border>
    <border>
      <left style="double"/>
      <right/>
      <top/>
      <bottom style="double"/>
    </border>
    <border>
      <left/>
      <right/>
      <top/>
      <bottom style="double"/>
    </border>
    <border>
      <left/>
      <right style="double"/>
      <top/>
      <bottom style="double"/>
    </border>
    <border>
      <left style="double"/>
      <right/>
      <top/>
      <bottom style="thin"/>
    </border>
    <border>
      <left style="double"/>
      <right style="thin"/>
      <top/>
      <bottom style="thin"/>
    </border>
    <border>
      <left style="thin"/>
      <right style="double"/>
      <top/>
      <bottom style="thin"/>
    </border>
    <border>
      <left style="double"/>
      <right style="thin"/>
      <top style="thin"/>
      <bottom style="thin"/>
    </border>
    <border>
      <left style="double"/>
      <right/>
      <top style="double"/>
      <bottom/>
    </border>
    <border>
      <left/>
      <right/>
      <top style="double"/>
      <bottom/>
    </border>
    <border>
      <left/>
      <right style="double"/>
      <top style="double"/>
      <bottom/>
    </border>
    <border>
      <left style="thin"/>
      <right style="thin"/>
      <top style="thin"/>
      <bottom/>
    </border>
    <border>
      <left style="thin"/>
      <right style="thin"/>
      <top/>
      <bottom/>
    </border>
    <border>
      <left/>
      <right style="thin"/>
      <top style="thin"/>
      <bottom/>
    </border>
    <border>
      <left style="thin"/>
      <right/>
      <top style="thin"/>
      <bottom/>
    </border>
    <border>
      <left/>
      <right style="double"/>
      <top style="thin"/>
      <bottom style="thin"/>
    </border>
    <border>
      <left style="medium"/>
      <right/>
      <top style="thin"/>
      <bottom style="medium"/>
    </border>
    <border>
      <left style="medium"/>
      <right/>
      <top style="thin"/>
      <bottom style="thin"/>
    </border>
    <border>
      <left style="medium"/>
      <right/>
      <top style="medium"/>
      <bottom style="thin"/>
    </border>
    <border>
      <left style="medium"/>
      <right/>
      <top style="thin"/>
      <bottom/>
    </border>
    <border>
      <left style="double"/>
      <right/>
      <top style="thin"/>
      <bottom/>
    </border>
    <border>
      <left/>
      <right style="medium"/>
      <top style="thin"/>
      <bottom/>
    </border>
    <border>
      <left/>
      <right/>
      <top style="hair"/>
      <bottom style="hair"/>
    </border>
    <border>
      <left/>
      <right style="thin"/>
      <top style="hair"/>
      <bottom style="hair"/>
    </border>
    <border>
      <left/>
      <right style="medium"/>
      <top style="thin"/>
      <bottom style="thin"/>
    </border>
    <border>
      <left/>
      <right/>
      <top/>
      <bottom style="hair"/>
    </border>
    <border>
      <left/>
      <right style="medium"/>
      <top/>
      <bottom style="hair"/>
    </border>
    <border>
      <left/>
      <right style="medium"/>
      <top style="hair"/>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74" fillId="3" borderId="0" applyNumberFormat="0" applyBorder="0" applyAlignment="0" applyProtection="0"/>
    <xf numFmtId="0" fontId="75" fillId="20" borderId="1" applyNumberFormat="0" applyAlignment="0" applyProtection="0"/>
    <xf numFmtId="0" fontId="7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92" fillId="0" borderId="0" applyNumberFormat="0" applyFill="0" applyBorder="0" applyAlignment="0" applyProtection="0"/>
    <xf numFmtId="0" fontId="78" fillId="4"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7" borderId="1" applyNumberFormat="0" applyAlignment="0" applyProtection="0"/>
    <xf numFmtId="0" fontId="84" fillId="0" borderId="6" applyNumberFormat="0" applyFill="0" applyAlignment="0" applyProtection="0"/>
    <xf numFmtId="0" fontId="85" fillId="22" borderId="0" applyNumberFormat="0" applyBorder="0" applyAlignment="0" applyProtection="0"/>
    <xf numFmtId="0" fontId="0" fillId="23" borderId="7" applyNumberFormat="0" applyFont="0" applyAlignment="0" applyProtection="0"/>
    <xf numFmtId="0" fontId="86" fillId="20"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936">
    <xf numFmtId="0" fontId="0" fillId="0" borderId="0" xfId="0" applyAlignment="1">
      <alignment/>
    </xf>
    <xf numFmtId="0" fontId="2" fillId="0" borderId="0" xfId="0" applyFont="1" applyAlignment="1">
      <alignment vertical="top"/>
    </xf>
    <xf numFmtId="14" fontId="0" fillId="0" borderId="0" xfId="0" applyNumberFormat="1" applyAlignment="1">
      <alignment/>
    </xf>
    <xf numFmtId="0" fontId="0" fillId="0" borderId="0" xfId="0" applyAlignment="1">
      <alignment horizontal="right"/>
    </xf>
    <xf numFmtId="0" fontId="0" fillId="0" borderId="0" xfId="0" applyAlignment="1">
      <alignment horizontal="left"/>
    </xf>
    <xf numFmtId="0" fontId="2" fillId="0" borderId="0" xfId="0" applyFont="1" applyAlignment="1">
      <alignment/>
    </xf>
    <xf numFmtId="0" fontId="0" fillId="0" borderId="0" xfId="0" applyAlignment="1">
      <alignment vertical="top"/>
    </xf>
    <xf numFmtId="0" fontId="4" fillId="0" borderId="0" xfId="0" applyFont="1" applyAlignment="1">
      <alignment/>
    </xf>
    <xf numFmtId="0" fontId="0" fillId="0" borderId="0" xfId="0" applyAlignment="1">
      <alignment horizontal="center"/>
    </xf>
    <xf numFmtId="0" fontId="0" fillId="0" borderId="0" xfId="0" applyAlignment="1">
      <alignment vertical="center"/>
    </xf>
    <xf numFmtId="0" fontId="0" fillId="0" borderId="10" xfId="0"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14" fontId="0" fillId="0" borderId="10" xfId="0" applyNumberFormat="1" applyBorder="1" applyAlignment="1">
      <alignment/>
    </xf>
    <xf numFmtId="0" fontId="0" fillId="0" borderId="10" xfId="0" applyFont="1" applyBorder="1" applyAlignment="1">
      <alignment/>
    </xf>
    <xf numFmtId="0" fontId="0" fillId="0" borderId="0" xfId="0" applyBorder="1" applyAlignment="1">
      <alignment/>
    </xf>
    <xf numFmtId="0" fontId="0" fillId="0" borderId="0" xfId="0" applyBorder="1" applyAlignment="1">
      <alignment horizontal="center"/>
    </xf>
    <xf numFmtId="0" fontId="8"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Alignment="1" quotePrefix="1">
      <alignment/>
    </xf>
    <xf numFmtId="0" fontId="10" fillId="0" borderId="0" xfId="0" applyFont="1" applyAlignment="1">
      <alignment/>
    </xf>
    <xf numFmtId="0" fontId="0" fillId="0" borderId="0" xfId="59" applyNumberFormat="1" applyFont="1" applyAlignment="1">
      <alignment/>
    </xf>
    <xf numFmtId="0" fontId="0" fillId="0" borderId="0" xfId="0" applyAlignment="1" quotePrefix="1">
      <alignment horizontal="right"/>
    </xf>
    <xf numFmtId="164" fontId="0" fillId="0" borderId="0" xfId="0" applyNumberFormat="1" applyAlignment="1">
      <alignment/>
    </xf>
    <xf numFmtId="0" fontId="0" fillId="0" borderId="0" xfId="0" applyFont="1" applyAlignment="1">
      <alignment vertical="center"/>
    </xf>
    <xf numFmtId="0" fontId="12" fillId="0" borderId="0" xfId="0" applyFont="1" applyBorder="1" applyAlignment="1">
      <alignment wrapText="1"/>
    </xf>
    <xf numFmtId="0" fontId="12" fillId="0" borderId="11" xfId="0" applyFont="1" applyBorder="1" applyAlignment="1">
      <alignment vertical="center" textRotation="90"/>
    </xf>
    <xf numFmtId="0" fontId="12" fillId="0" borderId="12" xfId="0" applyFont="1" applyBorder="1" applyAlignment="1">
      <alignment horizontal="center" vertical="center" wrapText="1"/>
    </xf>
    <xf numFmtId="0" fontId="12"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4" fillId="0" borderId="11" xfId="0" applyFont="1" applyBorder="1" applyAlignment="1">
      <alignment vertical="center" wrapText="1"/>
    </xf>
    <xf numFmtId="0" fontId="14" fillId="0" borderId="12" xfId="0" applyFont="1" applyBorder="1" applyAlignment="1">
      <alignment vertical="center"/>
    </xf>
    <xf numFmtId="0" fontId="14" fillId="0" borderId="0" xfId="0" applyFont="1" applyBorder="1" applyAlignment="1">
      <alignment vertical="center"/>
    </xf>
    <xf numFmtId="0" fontId="17" fillId="0" borderId="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4" fillId="0" borderId="16" xfId="0" applyFont="1" applyBorder="1" applyAlignment="1">
      <alignment vertical="center" wrapText="1"/>
    </xf>
    <xf numFmtId="0" fontId="0" fillId="0" borderId="11" xfId="0" applyBorder="1" applyAlignment="1">
      <alignment/>
    </xf>
    <xf numFmtId="0" fontId="0" fillId="0" borderId="12" xfId="0" applyBorder="1" applyAlignment="1">
      <alignment vertical="center"/>
    </xf>
    <xf numFmtId="0" fontId="0" fillId="0" borderId="11" xfId="0" applyBorder="1" applyAlignment="1">
      <alignment vertical="center"/>
    </xf>
    <xf numFmtId="0" fontId="16" fillId="0" borderId="17" xfId="0" applyFont="1" applyBorder="1" applyAlignment="1">
      <alignment horizontal="center" vertical="center"/>
    </xf>
    <xf numFmtId="0" fontId="10" fillId="0" borderId="0" xfId="0" applyFont="1" applyBorder="1" applyAlignment="1">
      <alignment horizontal="center" vertical="center"/>
    </xf>
    <xf numFmtId="0" fontId="15" fillId="0" borderId="10" xfId="0" applyFont="1" applyBorder="1" applyAlignment="1" quotePrefix="1">
      <alignment horizontal="center" vertical="center"/>
    </xf>
    <xf numFmtId="0" fontId="4" fillId="0" borderId="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2" fillId="0" borderId="12" xfId="0" applyFont="1" applyBorder="1" applyAlignment="1">
      <alignment vertical="center"/>
    </xf>
    <xf numFmtId="0" fontId="0" fillId="0" borderId="21" xfId="0" applyBorder="1" applyAlignment="1">
      <alignment vertical="center"/>
    </xf>
    <xf numFmtId="0" fontId="4" fillId="0" borderId="0" xfId="0" applyFont="1" applyBorder="1" applyAlignment="1">
      <alignment vertical="center"/>
    </xf>
    <xf numFmtId="0" fontId="18" fillId="0" borderId="0" xfId="0" applyFont="1" applyBorder="1" applyAlignment="1">
      <alignment horizontal="center" vertical="center"/>
    </xf>
    <xf numFmtId="0" fontId="4" fillId="0" borderId="12" xfId="0" applyFont="1" applyBorder="1" applyAlignment="1">
      <alignment vertical="center"/>
    </xf>
    <xf numFmtId="0" fontId="0" fillId="0" borderId="22" xfId="0" applyBorder="1" applyAlignment="1">
      <alignment vertical="center"/>
    </xf>
    <xf numFmtId="0" fontId="0" fillId="0" borderId="15" xfId="0" applyFont="1" applyBorder="1" applyAlignment="1">
      <alignment vertical="center"/>
    </xf>
    <xf numFmtId="0" fontId="0" fillId="0" borderId="23" xfId="0" applyFont="1" applyBorder="1" applyAlignment="1">
      <alignment vertical="center"/>
    </xf>
    <xf numFmtId="0" fontId="12" fillId="0" borderId="10" xfId="0" applyFont="1" applyBorder="1" applyAlignment="1">
      <alignment horizontal="center" vertical="center"/>
    </xf>
    <xf numFmtId="0" fontId="0" fillId="0" borderId="23" xfId="0" applyBorder="1" applyAlignment="1">
      <alignment vertical="center"/>
    </xf>
    <xf numFmtId="2" fontId="19" fillId="0" borderId="0" xfId="0" applyNumberFormat="1" applyFont="1" applyBorder="1" applyAlignment="1">
      <alignment vertical="center"/>
    </xf>
    <xf numFmtId="0" fontId="0" fillId="0" borderId="24" xfId="0" applyBorder="1" applyAlignment="1">
      <alignment vertical="center"/>
    </xf>
    <xf numFmtId="0" fontId="0" fillId="0" borderId="0" xfId="0" applyFill="1" applyBorder="1" applyAlignment="1">
      <alignment vertical="center"/>
    </xf>
    <xf numFmtId="2" fontId="20" fillId="0" borderId="0" xfId="0" applyNumberFormat="1"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11" xfId="0" applyFont="1" applyBorder="1" applyAlignment="1">
      <alignment vertical="center"/>
    </xf>
    <xf numFmtId="0" fontId="0" fillId="0" borderId="16" xfId="0" applyBorder="1" applyAlignment="1">
      <alignment vertical="center"/>
    </xf>
    <xf numFmtId="0" fontId="0" fillId="0" borderId="12" xfId="0" applyBorder="1" applyAlignment="1" quotePrefix="1">
      <alignment vertical="center"/>
    </xf>
    <xf numFmtId="0" fontId="3" fillId="0" borderId="11" xfId="0" applyFont="1" applyBorder="1" applyAlignment="1">
      <alignment horizontal="center" vertical="top" textRotation="90"/>
    </xf>
    <xf numFmtId="0" fontId="0" fillId="0" borderId="19" xfId="0" applyBorder="1" applyAlignment="1">
      <alignment/>
    </xf>
    <xf numFmtId="0" fontId="0" fillId="0" borderId="0" xfId="0" applyAlignment="1">
      <alignment horizontal="center" vertical="center"/>
    </xf>
    <xf numFmtId="0" fontId="13" fillId="0" borderId="19" xfId="0" applyFont="1" applyFill="1" applyBorder="1" applyAlignment="1">
      <alignment horizontal="center"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21" xfId="0" applyBorder="1" applyAlignment="1">
      <alignment/>
    </xf>
    <xf numFmtId="0" fontId="0" fillId="0" borderId="12" xfId="0" applyFill="1" applyBorder="1" applyAlignment="1" quotePrefix="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19" xfId="0" applyFill="1" applyBorder="1" applyAlignment="1">
      <alignment/>
    </xf>
    <xf numFmtId="0" fontId="0" fillId="0" borderId="23" xfId="0" applyBorder="1" applyAlignment="1">
      <alignment/>
    </xf>
    <xf numFmtId="0" fontId="0" fillId="0" borderId="0" xfId="0" applyFill="1" applyBorder="1" applyAlignment="1">
      <alignment/>
    </xf>
    <xf numFmtId="2" fontId="0" fillId="0" borderId="0" xfId="0" applyNumberFormat="1" applyFill="1" applyBorder="1" applyAlignment="1">
      <alignment vertical="center"/>
    </xf>
    <xf numFmtId="0" fontId="0" fillId="0" borderId="12" xfId="0" applyFill="1" applyBorder="1" applyAlignment="1" quotePrefix="1">
      <alignment vertical="center" wrapText="1"/>
    </xf>
    <xf numFmtId="0" fontId="0" fillId="0" borderId="0" xfId="0" applyAlignment="1">
      <alignment wrapText="1"/>
    </xf>
    <xf numFmtId="0" fontId="0" fillId="0" borderId="21" xfId="0" applyBorder="1" applyAlignment="1">
      <alignment wrapText="1"/>
    </xf>
    <xf numFmtId="0" fontId="0" fillId="0" borderId="11" xfId="0" applyFont="1" applyFill="1" applyBorder="1" applyAlignment="1">
      <alignment vertical="center"/>
    </xf>
    <xf numFmtId="0" fontId="6" fillId="0" borderId="30" xfId="0" applyFont="1" applyBorder="1" applyAlignment="1">
      <alignment/>
    </xf>
    <xf numFmtId="0" fontId="0" fillId="0" borderId="12" xfId="0" applyBorder="1" applyAlignment="1">
      <alignment/>
    </xf>
    <xf numFmtId="0" fontId="0" fillId="0" borderId="18" xfId="0" applyBorder="1" applyAlignment="1">
      <alignment/>
    </xf>
    <xf numFmtId="0" fontId="0" fillId="0" borderId="20" xfId="0" applyBorder="1" applyAlignment="1">
      <alignment/>
    </xf>
    <xf numFmtId="0" fontId="0" fillId="0" borderId="0" xfId="0" applyAlignment="1">
      <alignment/>
    </xf>
    <xf numFmtId="0" fontId="12" fillId="0" borderId="10" xfId="0" applyFont="1" applyBorder="1" applyAlignment="1">
      <alignment horizontal="center" vertical="center" wrapText="1"/>
    </xf>
    <xf numFmtId="0" fontId="0" fillId="0" borderId="10" xfId="0" applyBorder="1" applyAlignment="1">
      <alignment horizontal="center" vertical="center"/>
    </xf>
    <xf numFmtId="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vertical="center"/>
    </xf>
    <xf numFmtId="0" fontId="21" fillId="0" borderId="0" xfId="0" applyFont="1" applyAlignment="1">
      <alignment/>
    </xf>
    <xf numFmtId="0" fontId="22" fillId="0" borderId="0" xfId="0" applyFont="1" applyAlignment="1">
      <alignment vertical="top"/>
    </xf>
    <xf numFmtId="0" fontId="23" fillId="0" borderId="0" xfId="0" applyFont="1" applyAlignment="1">
      <alignment vertical="center"/>
    </xf>
    <xf numFmtId="0" fontId="24" fillId="0" borderId="0" xfId="0" applyFont="1" applyAlignment="1">
      <alignment/>
    </xf>
    <xf numFmtId="166" fontId="0" fillId="0" borderId="0" xfId="0" applyNumberFormat="1" applyAlignment="1">
      <alignment/>
    </xf>
    <xf numFmtId="166" fontId="21" fillId="0" borderId="0" xfId="0" applyNumberFormat="1" applyFont="1" applyAlignment="1">
      <alignment/>
    </xf>
    <xf numFmtId="0" fontId="12" fillId="0" borderId="0" xfId="0" applyFont="1" applyAlignment="1">
      <alignment/>
    </xf>
    <xf numFmtId="0" fontId="27" fillId="0" borderId="0" xfId="0" applyFont="1" applyAlignment="1">
      <alignment/>
    </xf>
    <xf numFmtId="0" fontId="12" fillId="0" borderId="0" xfId="0" applyFont="1" applyAlignment="1">
      <alignment horizontal="center"/>
    </xf>
    <xf numFmtId="0" fontId="0" fillId="0" borderId="10" xfId="0" applyBorder="1" applyAlignment="1">
      <alignment shrinkToFit="1"/>
    </xf>
    <xf numFmtId="0" fontId="0" fillId="0" borderId="0" xfId="0" applyNumberFormat="1" applyAlignment="1">
      <alignment/>
    </xf>
    <xf numFmtId="0" fontId="16" fillId="0" borderId="10" xfId="0" applyNumberFormat="1" applyFont="1" applyBorder="1" applyAlignment="1">
      <alignment horizontal="center" vertical="center"/>
    </xf>
    <xf numFmtId="0" fontId="0" fillId="0" borderId="10" xfId="0" applyBorder="1" applyAlignment="1">
      <alignment textRotation="90"/>
    </xf>
    <xf numFmtId="0" fontId="8" fillId="0" borderId="10" xfId="0" applyFont="1" applyBorder="1" applyAlignment="1">
      <alignment/>
    </xf>
    <xf numFmtId="0" fontId="8" fillId="0" borderId="10" xfId="0" applyFont="1" applyBorder="1" applyAlignment="1">
      <alignment horizontal="center"/>
    </xf>
    <xf numFmtId="0" fontId="8" fillId="0" borderId="17" xfId="0" applyFont="1" applyBorder="1" applyAlignment="1">
      <alignment/>
    </xf>
    <xf numFmtId="0" fontId="8" fillId="0" borderId="24" xfId="0" applyFont="1" applyBorder="1" applyAlignment="1">
      <alignment/>
    </xf>
    <xf numFmtId="2" fontId="0" fillId="0" borderId="0" xfId="0" applyNumberFormat="1" applyAlignment="1">
      <alignment/>
    </xf>
    <xf numFmtId="0" fontId="0" fillId="0" borderId="10" xfId="0" applyNumberFormat="1" applyBorder="1" applyAlignment="1">
      <alignment/>
    </xf>
    <xf numFmtId="0" fontId="0" fillId="0" borderId="17" xfId="0" applyBorder="1" applyAlignment="1">
      <alignment/>
    </xf>
    <xf numFmtId="166" fontId="0" fillId="0" borderId="10" xfId="0" applyNumberFormat="1" applyBorder="1" applyAlignment="1">
      <alignment/>
    </xf>
    <xf numFmtId="0" fontId="0" fillId="0" borderId="17" xfId="0" applyNumberFormat="1" applyBorder="1" applyAlignment="1">
      <alignment/>
    </xf>
    <xf numFmtId="0" fontId="0" fillId="0" borderId="10" xfId="0" applyBorder="1" applyAlignment="1">
      <alignment textRotation="90" shrinkToFit="1"/>
    </xf>
    <xf numFmtId="0" fontId="8" fillId="0" borderId="10" xfId="0" applyNumberFormat="1" applyFont="1" applyBorder="1" applyAlignment="1">
      <alignment horizontal="right" shrinkToFit="1"/>
    </xf>
    <xf numFmtId="0" fontId="8" fillId="0" borderId="10" xfId="0" applyFont="1" applyBorder="1" applyAlignment="1">
      <alignment shrinkToFit="1"/>
    </xf>
    <xf numFmtId="0" fontId="2" fillId="0" borderId="0" xfId="0" applyFont="1" applyAlignment="1">
      <alignment vertical="center"/>
    </xf>
    <xf numFmtId="0" fontId="24" fillId="0" borderId="0" xfId="0" applyFont="1" applyAlignment="1">
      <alignment/>
    </xf>
    <xf numFmtId="0" fontId="21" fillId="0" borderId="0" xfId="0" applyFont="1" applyAlignment="1">
      <alignment/>
    </xf>
    <xf numFmtId="14" fontId="0" fillId="0" borderId="0" xfId="0" applyNumberFormat="1" applyAlignment="1">
      <alignment horizontal="center"/>
    </xf>
    <xf numFmtId="165" fontId="3" fillId="0" borderId="15" xfId="0" applyNumberFormat="1" applyFont="1" applyBorder="1" applyAlignment="1">
      <alignment vertical="center"/>
    </xf>
    <xf numFmtId="0" fontId="0" fillId="0" borderId="10" xfId="0" applyBorder="1" applyAlignment="1">
      <alignment wrapText="1"/>
    </xf>
    <xf numFmtId="0" fontId="0" fillId="0" borderId="10" xfId="0" applyFont="1" applyBorder="1" applyAlignment="1">
      <alignment shrinkToFit="1"/>
    </xf>
    <xf numFmtId="0" fontId="24" fillId="0" borderId="0" xfId="0" applyFont="1" applyBorder="1" applyAlignment="1">
      <alignment vertical="center"/>
    </xf>
    <xf numFmtId="0" fontId="21" fillId="0" borderId="0" xfId="0" applyFont="1" applyBorder="1" applyAlignment="1">
      <alignment vertical="center"/>
    </xf>
    <xf numFmtId="0" fontId="0" fillId="0" borderId="0" xfId="0" applyFont="1" applyBorder="1" applyAlignment="1">
      <alignment/>
    </xf>
    <xf numFmtId="0" fontId="3" fillId="0" borderId="0" xfId="0" applyFont="1" applyAlignment="1">
      <alignment horizontal="left"/>
    </xf>
    <xf numFmtId="0" fontId="3" fillId="0" borderId="0" xfId="0" applyFont="1" applyAlignment="1">
      <alignment/>
    </xf>
    <xf numFmtId="0" fontId="29" fillId="0" borderId="0" xfId="0" applyFont="1" applyBorder="1" applyAlignment="1">
      <alignment vertical="center"/>
    </xf>
    <xf numFmtId="0" fontId="29" fillId="0" borderId="11" xfId="0" applyFont="1" applyBorder="1" applyAlignment="1">
      <alignment vertical="center"/>
    </xf>
    <xf numFmtId="0" fontId="2" fillId="0" borderId="0" xfId="0" applyFont="1" applyAlignment="1">
      <alignment/>
    </xf>
    <xf numFmtId="0" fontId="24" fillId="0" borderId="0" xfId="0" applyFont="1" applyAlignment="1">
      <alignment/>
    </xf>
    <xf numFmtId="0" fontId="24" fillId="0" borderId="0" xfId="0" applyFont="1" applyAlignment="1">
      <alignment/>
    </xf>
    <xf numFmtId="0" fontId="22" fillId="0" borderId="0" xfId="0" applyFont="1" applyAlignment="1">
      <alignment/>
    </xf>
    <xf numFmtId="0" fontId="24" fillId="0" borderId="0" xfId="0" applyFont="1" applyBorder="1" applyAlignment="1">
      <alignment vertical="center"/>
    </xf>
    <xf numFmtId="0" fontId="2" fillId="0" borderId="0" xfId="0" applyFont="1" applyAlignment="1">
      <alignment/>
    </xf>
    <xf numFmtId="0" fontId="12" fillId="0" borderId="10" xfId="0" applyFont="1" applyBorder="1" applyAlignment="1">
      <alignment/>
    </xf>
    <xf numFmtId="0" fontId="12" fillId="0" borderId="19" xfId="0" applyFont="1" applyBorder="1" applyAlignment="1">
      <alignment vertical="center"/>
    </xf>
    <xf numFmtId="0" fontId="29" fillId="0" borderId="25" xfId="0" applyFont="1" applyBorder="1" applyAlignment="1">
      <alignment vertical="center"/>
    </xf>
    <xf numFmtId="0" fontId="29" fillId="0" borderId="31" xfId="0" applyFont="1" applyBorder="1" applyAlignment="1">
      <alignment vertical="center"/>
    </xf>
    <xf numFmtId="166" fontId="0" fillId="0" borderId="0" xfId="0" applyNumberFormat="1" applyFont="1" applyAlignment="1">
      <alignment/>
    </xf>
    <xf numFmtId="166" fontId="0" fillId="0" borderId="0" xfId="0" applyNumberFormat="1" applyFont="1" applyAlignment="1">
      <alignment vertical="center"/>
    </xf>
    <xf numFmtId="169" fontId="3" fillId="0" borderId="0" xfId="0" applyNumberFormat="1" applyFont="1" applyAlignment="1">
      <alignment shrinkToFit="1"/>
    </xf>
    <xf numFmtId="166" fontId="0" fillId="0" borderId="0" xfId="0" applyNumberFormat="1" applyAlignment="1">
      <alignment horizontal="left"/>
    </xf>
    <xf numFmtId="0" fontId="13" fillId="0" borderId="10" xfId="0" applyFont="1" applyBorder="1" applyAlignment="1">
      <alignment horizontal="right" vertical="center"/>
    </xf>
    <xf numFmtId="0" fontId="13" fillId="0" borderId="10" xfId="0" applyFont="1" applyBorder="1" applyAlignment="1">
      <alignment vertical="center"/>
    </xf>
    <xf numFmtId="0" fontId="9" fillId="0" borderId="10" xfId="0" applyFont="1" applyBorder="1" applyAlignment="1">
      <alignment horizontal="center" vertical="center"/>
    </xf>
    <xf numFmtId="0" fontId="12" fillId="0" borderId="32" xfId="0" applyFont="1" applyBorder="1" applyAlignment="1">
      <alignment horizontal="center" vertical="center" wrapText="1"/>
    </xf>
    <xf numFmtId="166" fontId="0" fillId="0" borderId="0" xfId="0" applyNumberFormat="1" applyAlignment="1">
      <alignment/>
    </xf>
    <xf numFmtId="0" fontId="4" fillId="0" borderId="0" xfId="0" applyFont="1" applyBorder="1" applyAlignment="1">
      <alignment horizontal="center" vertical="center"/>
    </xf>
    <xf numFmtId="0" fontId="3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33" xfId="0" applyFont="1" applyBorder="1" applyAlignment="1">
      <alignment horizontal="center" vertical="center"/>
    </xf>
    <xf numFmtId="0" fontId="12" fillId="0" borderId="15" xfId="0" applyFont="1" applyBorder="1" applyAlignment="1">
      <alignment vertical="center"/>
    </xf>
    <xf numFmtId="0" fontId="9" fillId="0" borderId="10" xfId="0" applyFont="1" applyBorder="1" applyAlignment="1">
      <alignment horizontal="center" vertical="center"/>
    </xf>
    <xf numFmtId="0" fontId="24" fillId="0" borderId="0" xfId="0" applyFont="1" applyAlignment="1">
      <alignment wrapText="1"/>
    </xf>
    <xf numFmtId="0" fontId="12" fillId="0" borderId="15" xfId="0" applyFont="1" applyBorder="1" applyAlignment="1">
      <alignment horizontal="center" vertical="center" shrinkToFit="1"/>
    </xf>
    <xf numFmtId="0" fontId="0" fillId="0" borderId="0" xfId="0" applyBorder="1" applyAlignment="1">
      <alignment horizontal="right" vertical="center"/>
    </xf>
    <xf numFmtId="0" fontId="12" fillId="0" borderId="15" xfId="0" applyFont="1" applyBorder="1" applyAlignment="1">
      <alignment horizontal="center" vertical="center"/>
    </xf>
    <xf numFmtId="0" fontId="12" fillId="0" borderId="0" xfId="0" applyFont="1" applyBorder="1" applyAlignment="1">
      <alignment horizontal="center" vertical="center" shrinkToFit="1"/>
    </xf>
    <xf numFmtId="0" fontId="13" fillId="0" borderId="1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0" xfId="0" applyFont="1" applyBorder="1" applyAlignment="1">
      <alignment vertical="center"/>
    </xf>
    <xf numFmtId="0" fontId="13" fillId="0" borderId="34" xfId="0" applyFont="1" applyBorder="1" applyAlignment="1">
      <alignment horizontal="center" vertical="center"/>
    </xf>
    <xf numFmtId="0" fontId="13" fillId="0" borderId="0" xfId="0" applyFont="1" applyBorder="1" applyAlignment="1">
      <alignment horizontal="center" vertical="center"/>
    </xf>
    <xf numFmtId="0" fontId="0" fillId="0" borderId="0" xfId="0" applyAlignment="1">
      <alignment vertical="center" wrapText="1"/>
    </xf>
    <xf numFmtId="0" fontId="12" fillId="0" borderId="0" xfId="0" applyFont="1" applyBorder="1" applyAlignment="1">
      <alignment horizontal="center" vertical="center"/>
    </xf>
    <xf numFmtId="0" fontId="12" fillId="0" borderId="35" xfId="0" applyFont="1" applyBorder="1" applyAlignment="1">
      <alignment horizontal="center" vertical="center"/>
    </xf>
    <xf numFmtId="0" fontId="35" fillId="0" borderId="36" xfId="0" applyFont="1" applyBorder="1" applyAlignment="1">
      <alignment horizontal="center" vertical="center"/>
    </xf>
    <xf numFmtId="0" fontId="0" fillId="0" borderId="36" xfId="0" applyBorder="1" applyAlignment="1">
      <alignment vertical="center"/>
    </xf>
    <xf numFmtId="0" fontId="0" fillId="0" borderId="35" xfId="0" applyBorder="1" applyAlignment="1">
      <alignment vertical="center"/>
    </xf>
    <xf numFmtId="0" fontId="0" fillId="0" borderId="0" xfId="0" applyFont="1" applyBorder="1" applyAlignment="1">
      <alignment vertical="center"/>
    </xf>
    <xf numFmtId="0" fontId="12" fillId="0" borderId="35" xfId="0" applyFont="1" applyBorder="1" applyAlignment="1">
      <alignment horizontal="center" vertical="center"/>
    </xf>
    <xf numFmtId="0" fontId="9" fillId="0" borderId="37" xfId="0" applyFont="1" applyBorder="1" applyAlignment="1">
      <alignment vertical="center"/>
    </xf>
    <xf numFmtId="0" fontId="0" fillId="0" borderId="35" xfId="0" applyBorder="1" applyAlignment="1">
      <alignment horizontal="center" vertical="center"/>
    </xf>
    <xf numFmtId="0" fontId="0" fillId="0" borderId="36" xfId="0" applyFont="1" applyBorder="1" applyAlignment="1">
      <alignment vertical="center"/>
    </xf>
    <xf numFmtId="0" fontId="9" fillId="0" borderId="35" xfId="0" applyFont="1" applyBorder="1" applyAlignment="1">
      <alignment horizontal="center" vertical="center"/>
    </xf>
    <xf numFmtId="0" fontId="0" fillId="0" borderId="38" xfId="0" applyBorder="1" applyAlignment="1">
      <alignment horizontal="center" vertical="center"/>
    </xf>
    <xf numFmtId="0" fontId="13" fillId="0" borderId="39" xfId="0" applyFont="1" applyBorder="1" applyAlignment="1">
      <alignment horizontal="center" vertical="center"/>
    </xf>
    <xf numFmtId="0" fontId="0" fillId="0" borderId="40" xfId="0" applyBorder="1" applyAlignment="1">
      <alignment horizontal="right" vertical="center"/>
    </xf>
    <xf numFmtId="0" fontId="0" fillId="0" borderId="36" xfId="0" applyBorder="1" applyAlignment="1">
      <alignment horizontal="right" vertical="center"/>
    </xf>
    <xf numFmtId="0" fontId="0" fillId="0" borderId="36" xfId="0" applyBorder="1" applyAlignment="1">
      <alignment horizontal="center" vertical="center"/>
    </xf>
    <xf numFmtId="0" fontId="13" fillId="0" borderId="35" xfId="0" applyFont="1" applyBorder="1" applyAlignment="1">
      <alignment horizontal="center" vertical="center"/>
    </xf>
    <xf numFmtId="0" fontId="0" fillId="0" borderId="36" xfId="0" applyFill="1" applyBorder="1" applyAlignment="1">
      <alignment horizontal="right"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12" fillId="0" borderId="0" xfId="0" applyNumberFormat="1" applyFont="1" applyBorder="1" applyAlignment="1">
      <alignment vertical="center"/>
    </xf>
    <xf numFmtId="0" fontId="12" fillId="0" borderId="0" xfId="0" applyFont="1" applyBorder="1" applyAlignment="1">
      <alignment horizontal="right" vertical="center"/>
    </xf>
    <xf numFmtId="0" fontId="12" fillId="0" borderId="15" xfId="0" applyFont="1" applyBorder="1" applyAlignment="1">
      <alignment horizontal="right" vertical="center"/>
    </xf>
    <xf numFmtId="0" fontId="0" fillId="0" borderId="33" xfId="0" applyBorder="1" applyAlignment="1">
      <alignment vertical="center"/>
    </xf>
    <xf numFmtId="49" fontId="45" fillId="0" borderId="10" xfId="0" applyNumberFormat="1" applyFont="1" applyBorder="1" applyAlignment="1">
      <alignment horizontal="center" vertical="center"/>
    </xf>
    <xf numFmtId="0" fontId="12" fillId="0" borderId="36" xfId="0" applyFont="1" applyBorder="1" applyAlignment="1">
      <alignment vertical="center"/>
    </xf>
    <xf numFmtId="0" fontId="12" fillId="0" borderId="35" xfId="0" applyFont="1" applyBorder="1" applyAlignment="1">
      <alignment vertical="center"/>
    </xf>
    <xf numFmtId="0" fontId="12" fillId="0" borderId="44" xfId="0" applyFont="1" applyBorder="1" applyAlignment="1">
      <alignment vertical="center"/>
    </xf>
    <xf numFmtId="0" fontId="0" fillId="0" borderId="38" xfId="0" applyBorder="1" applyAlignment="1">
      <alignment vertical="center"/>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0" fillId="0" borderId="47" xfId="0" applyBorder="1" applyAlignment="1">
      <alignment horizontal="center" vertical="center"/>
    </xf>
    <xf numFmtId="3" fontId="13" fillId="0" borderId="37" xfId="0" applyNumberFormat="1" applyFont="1" applyBorder="1" applyAlignment="1">
      <alignment horizontal="right" vertical="center"/>
    </xf>
    <xf numFmtId="3" fontId="0" fillId="0" borderId="35" xfId="0" applyNumberFormat="1" applyBorder="1" applyAlignment="1">
      <alignment horizontal="center" vertical="center"/>
    </xf>
    <xf numFmtId="0" fontId="12" fillId="0" borderId="38" xfId="0" applyFont="1" applyBorder="1" applyAlignment="1">
      <alignment vertical="center"/>
    </xf>
    <xf numFmtId="0" fontId="12" fillId="0" borderId="47" xfId="0" applyFont="1" applyBorder="1" applyAlignment="1">
      <alignment horizontal="center" vertical="center"/>
    </xf>
    <xf numFmtId="0" fontId="12" fillId="0" borderId="37" xfId="0" applyFont="1" applyBorder="1" applyAlignment="1">
      <alignment horizontal="center" vertical="center" wrapText="1"/>
    </xf>
    <xf numFmtId="3" fontId="13" fillId="0" borderId="37" xfId="0" applyNumberFormat="1" applyFont="1" applyBorder="1" applyAlignment="1">
      <alignment vertical="center"/>
    </xf>
    <xf numFmtId="0" fontId="0" fillId="0" borderId="47" xfId="0" applyBorder="1" applyAlignment="1">
      <alignment vertical="center"/>
    </xf>
    <xf numFmtId="0" fontId="5" fillId="0" borderId="10" xfId="0" applyFont="1" applyBorder="1" applyAlignment="1">
      <alignment horizontal="center" vertical="center"/>
    </xf>
    <xf numFmtId="49" fontId="0" fillId="0" borderId="0" xfId="0" applyNumberFormat="1" applyBorder="1" applyAlignment="1">
      <alignment vertical="center"/>
    </xf>
    <xf numFmtId="0" fontId="0" fillId="0" borderId="34" xfId="0" applyBorder="1" applyAlignment="1">
      <alignment vertical="center"/>
    </xf>
    <xf numFmtId="0" fontId="0" fillId="0" borderId="24" xfId="0" applyFont="1" applyBorder="1" applyAlignment="1">
      <alignment vertical="center"/>
    </xf>
    <xf numFmtId="0" fontId="5" fillId="0" borderId="37" xfId="0" applyFont="1" applyBorder="1" applyAlignment="1">
      <alignment horizontal="center" vertical="center"/>
    </xf>
    <xf numFmtId="0" fontId="0" fillId="0" borderId="39" xfId="0" applyBorder="1" applyAlignment="1">
      <alignment vertical="center"/>
    </xf>
    <xf numFmtId="0" fontId="0" fillId="0" borderId="40" xfId="0" applyFont="1" applyBorder="1" applyAlignment="1">
      <alignment vertical="center"/>
    </xf>
    <xf numFmtId="0" fontId="12" fillId="0" borderId="0" xfId="0" applyFont="1" applyAlignment="1">
      <alignment/>
    </xf>
    <xf numFmtId="0" fontId="0" fillId="0" borderId="0" xfId="0" applyAlignment="1" quotePrefix="1">
      <alignment horizontal="center"/>
    </xf>
    <xf numFmtId="0" fontId="0" fillId="0" borderId="0" xfId="0" applyFont="1" applyBorder="1" applyAlignment="1">
      <alignment horizontal="left" vertical="top" wrapText="1"/>
    </xf>
    <xf numFmtId="165" fontId="3" fillId="0" borderId="44" xfId="0" applyNumberFormat="1" applyFont="1" applyBorder="1" applyAlignment="1">
      <alignment vertical="center"/>
    </xf>
    <xf numFmtId="0" fontId="13" fillId="0" borderId="37" xfId="0" applyFont="1" applyBorder="1" applyAlignment="1">
      <alignment horizontal="right" vertical="center"/>
    </xf>
    <xf numFmtId="0" fontId="0" fillId="0" borderId="0" xfId="0" applyAlignment="1" quotePrefix="1">
      <alignment/>
    </xf>
    <xf numFmtId="0" fontId="48" fillId="0" borderId="0" xfId="0" applyFont="1" applyAlignment="1">
      <alignment vertical="center"/>
    </xf>
    <xf numFmtId="0" fontId="0" fillId="0" borderId="10" xfId="0" applyNumberFormat="1" applyFont="1" applyBorder="1" applyAlignment="1">
      <alignment horizontal="right" shrinkToFit="1"/>
    </xf>
    <xf numFmtId="166" fontId="0" fillId="0" borderId="24" xfId="0" applyNumberFormat="1" applyFont="1" applyBorder="1" applyAlignment="1">
      <alignment shrinkToFit="1"/>
    </xf>
    <xf numFmtId="166" fontId="12" fillId="0" borderId="24" xfId="0" applyNumberFormat="1" applyFont="1" applyBorder="1" applyAlignment="1">
      <alignment horizontal="center" shrinkToFit="1"/>
    </xf>
    <xf numFmtId="0" fontId="0" fillId="0" borderId="10" xfId="0" applyFont="1" applyBorder="1" applyAlignment="1">
      <alignment shrinkToFit="1"/>
    </xf>
    <xf numFmtId="0" fontId="0" fillId="0" borderId="0" xfId="0" applyFont="1" applyAlignment="1">
      <alignment/>
    </xf>
    <xf numFmtId="0" fontId="0" fillId="0" borderId="10" xfId="0" applyNumberFormat="1" applyFont="1" applyBorder="1" applyAlignment="1">
      <alignment horizontal="right" shrinkToFit="1"/>
    </xf>
    <xf numFmtId="0" fontId="12" fillId="0" borderId="10" xfId="0" applyFont="1" applyBorder="1" applyAlignment="1">
      <alignment shrinkToFit="1"/>
    </xf>
    <xf numFmtId="166" fontId="12" fillId="0" borderId="24" xfId="0" applyNumberFormat="1" applyFont="1" applyBorder="1" applyAlignment="1">
      <alignment shrinkToFit="1"/>
    </xf>
    <xf numFmtId="166" fontId="12" fillId="0" borderId="24" xfId="0" applyNumberFormat="1" applyFont="1" applyBorder="1" applyAlignment="1">
      <alignment horizontal="center" shrinkToFit="1"/>
    </xf>
    <xf numFmtId="0" fontId="0" fillId="0" borderId="10" xfId="0" applyFont="1" applyBorder="1" applyAlignment="1">
      <alignment vertical="center" shrinkToFit="1"/>
    </xf>
    <xf numFmtId="0" fontId="8" fillId="0" borderId="10" xfId="0" applyFont="1" applyBorder="1" applyAlignment="1">
      <alignment vertical="center"/>
    </xf>
    <xf numFmtId="0" fontId="8" fillId="0" borderId="10" xfId="0" applyFont="1" applyBorder="1" applyAlignment="1">
      <alignment horizontal="center" vertical="center"/>
    </xf>
    <xf numFmtId="49" fontId="0" fillId="0" borderId="17" xfId="0" applyNumberFormat="1" applyFont="1" applyBorder="1" applyAlignment="1">
      <alignment horizontal="center" vertical="center"/>
    </xf>
    <xf numFmtId="0" fontId="0" fillId="0" borderId="17" xfId="0" applyFont="1" applyBorder="1" applyAlignment="1">
      <alignment vertical="center"/>
    </xf>
    <xf numFmtId="0" fontId="0" fillId="0" borderId="33" xfId="0" applyFont="1" applyBorder="1" applyAlignment="1">
      <alignment vertical="center"/>
    </xf>
    <xf numFmtId="0" fontId="0" fillId="0" borderId="10" xfId="0" applyNumberFormat="1" applyFont="1" applyBorder="1" applyAlignment="1">
      <alignment horizontal="right" vertical="center" shrinkToFit="1"/>
    </xf>
    <xf numFmtId="0" fontId="12" fillId="0" borderId="17" xfId="0" applyFont="1" applyBorder="1" applyAlignment="1">
      <alignment horizontal="center" vertical="center" shrinkToFit="1"/>
    </xf>
    <xf numFmtId="0" fontId="12" fillId="0" borderId="24" xfId="0" applyFont="1" applyBorder="1" applyAlignment="1">
      <alignment horizontal="center" vertical="center" shrinkToFit="1"/>
    </xf>
    <xf numFmtId="166" fontId="0" fillId="0" borderId="24" xfId="0" applyNumberFormat="1" applyFont="1" applyBorder="1" applyAlignment="1">
      <alignment vertical="center" shrinkToFit="1"/>
    </xf>
    <xf numFmtId="166" fontId="12" fillId="0" borderId="24" xfId="0" applyNumberFormat="1" applyFont="1" applyBorder="1" applyAlignment="1">
      <alignment horizontal="center" vertical="center" shrinkToFit="1"/>
    </xf>
    <xf numFmtId="166" fontId="0" fillId="0" borderId="33" xfId="0" applyNumberFormat="1" applyFont="1" applyBorder="1" applyAlignment="1">
      <alignment horizontal="center" vertical="center" shrinkToFit="1"/>
    </xf>
    <xf numFmtId="0" fontId="0" fillId="0" borderId="17" xfId="0" applyFont="1" applyBorder="1" applyAlignment="1">
      <alignment horizontal="right" vertical="center" shrinkToFit="1"/>
    </xf>
    <xf numFmtId="0" fontId="0" fillId="0" borderId="33" xfId="0" applyFont="1" applyBorder="1" applyAlignment="1">
      <alignment horizontal="right" vertical="center" shrinkToFit="1"/>
    </xf>
    <xf numFmtId="0" fontId="0" fillId="0" borderId="10" xfId="0" applyFont="1" applyBorder="1" applyAlignment="1">
      <alignment vertical="center" shrinkToFit="1"/>
    </xf>
    <xf numFmtId="0" fontId="0" fillId="0" borderId="0" xfId="0" applyFont="1" applyAlignment="1">
      <alignment vertical="center"/>
    </xf>
    <xf numFmtId="0" fontId="0" fillId="0" borderId="10" xfId="0" applyNumberFormat="1" applyFont="1" applyBorder="1" applyAlignment="1">
      <alignment horizontal="right" vertical="center" shrinkToFit="1"/>
    </xf>
    <xf numFmtId="0" fontId="0" fillId="0" borderId="10" xfId="0" applyFont="1" applyBorder="1" applyAlignment="1">
      <alignment vertical="center"/>
    </xf>
    <xf numFmtId="0" fontId="12" fillId="0" borderId="10" xfId="0" applyFont="1" applyBorder="1" applyAlignment="1">
      <alignment vertical="center" shrinkToFit="1"/>
    </xf>
    <xf numFmtId="166" fontId="12" fillId="0" borderId="24" xfId="0" applyNumberFormat="1" applyFont="1" applyBorder="1" applyAlignment="1">
      <alignment vertical="center" shrinkToFit="1"/>
    </xf>
    <xf numFmtId="166" fontId="12" fillId="0" borderId="24" xfId="0" applyNumberFormat="1" applyFont="1" applyBorder="1" applyAlignment="1">
      <alignment horizontal="center" vertical="center" shrinkToFit="1"/>
    </xf>
    <xf numFmtId="0" fontId="12" fillId="0" borderId="0" xfId="0" applyFont="1" applyAlignment="1">
      <alignment vertical="center"/>
    </xf>
    <xf numFmtId="0" fontId="12" fillId="0" borderId="17" xfId="0" applyFont="1" applyBorder="1" applyAlignment="1">
      <alignment horizontal="center" shrinkToFit="1"/>
    </xf>
    <xf numFmtId="0" fontId="12" fillId="0" borderId="24" xfId="0" applyFont="1" applyBorder="1" applyAlignment="1">
      <alignment horizontal="center" shrinkToFit="1"/>
    </xf>
    <xf numFmtId="0" fontId="12" fillId="0" borderId="17" xfId="0" applyFont="1" applyBorder="1" applyAlignment="1">
      <alignment horizontal="right" shrinkToFit="1"/>
    </xf>
    <xf numFmtId="0" fontId="12" fillId="0" borderId="33" xfId="0" applyFont="1" applyBorder="1" applyAlignment="1">
      <alignment horizontal="right" shrinkToFit="1"/>
    </xf>
    <xf numFmtId="0" fontId="12" fillId="0" borderId="17" xfId="0" applyFont="1" applyBorder="1" applyAlignment="1">
      <alignment horizontal="center" vertical="center" shrinkToFit="1"/>
    </xf>
    <xf numFmtId="0" fontId="12" fillId="0" borderId="24" xfId="0" applyFont="1" applyBorder="1" applyAlignment="1">
      <alignment horizontal="center" vertical="center" shrinkToFit="1"/>
    </xf>
    <xf numFmtId="166" fontId="12" fillId="0" borderId="33" xfId="0" applyNumberFormat="1" applyFont="1" applyBorder="1" applyAlignment="1">
      <alignment horizontal="center" vertical="center" shrinkToFit="1"/>
    </xf>
    <xf numFmtId="0" fontId="12" fillId="0" borderId="17" xfId="0" applyFont="1" applyBorder="1" applyAlignment="1">
      <alignment horizontal="right" vertical="center" shrinkToFit="1"/>
    </xf>
    <xf numFmtId="0" fontId="12" fillId="0" borderId="33" xfId="0" applyFont="1" applyBorder="1" applyAlignment="1">
      <alignment horizontal="right" vertical="center" shrinkToFit="1"/>
    </xf>
    <xf numFmtId="0" fontId="16" fillId="0" borderId="10" xfId="0" applyFont="1" applyBorder="1" applyAlignment="1">
      <alignment shrinkToFit="1"/>
    </xf>
    <xf numFmtId="0" fontId="16" fillId="0" borderId="10" xfId="0" applyFont="1" applyBorder="1" applyAlignment="1">
      <alignment vertical="center" shrinkToFit="1"/>
    </xf>
    <xf numFmtId="0" fontId="12" fillId="0" borderId="10" xfId="0" applyFont="1" applyBorder="1" applyAlignment="1">
      <alignment vertical="center" wrapText="1"/>
    </xf>
    <xf numFmtId="166" fontId="12" fillId="0" borderId="24" xfId="0" applyNumberFormat="1" applyFont="1" applyBorder="1" applyAlignment="1">
      <alignment vertical="center" wrapText="1"/>
    </xf>
    <xf numFmtId="166" fontId="12" fillId="0" borderId="24" xfId="0" applyNumberFormat="1" applyFont="1" applyBorder="1" applyAlignment="1">
      <alignment horizontal="center" vertical="center" wrapText="1"/>
    </xf>
    <xf numFmtId="0" fontId="12" fillId="0" borderId="0" xfId="0" applyFont="1" applyAlignment="1">
      <alignment vertical="center" wrapText="1"/>
    </xf>
    <xf numFmtId="0" fontId="16" fillId="0" borderId="10" xfId="0" applyFont="1" applyBorder="1" applyAlignment="1">
      <alignment wrapText="1"/>
    </xf>
    <xf numFmtId="166" fontId="16" fillId="0" borderId="24" xfId="0" applyNumberFormat="1" applyFont="1" applyBorder="1" applyAlignment="1">
      <alignment wrapText="1"/>
    </xf>
    <xf numFmtId="166" fontId="16" fillId="0" borderId="24" xfId="0" applyNumberFormat="1" applyFont="1" applyBorder="1" applyAlignment="1">
      <alignment horizontal="center" wrapText="1"/>
    </xf>
    <xf numFmtId="0" fontId="16" fillId="0" borderId="0" xfId="0" applyFont="1" applyAlignment="1">
      <alignment wrapText="1"/>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12" fillId="0" borderId="17" xfId="0" applyFont="1" applyBorder="1" applyAlignment="1">
      <alignment vertical="center"/>
    </xf>
    <xf numFmtId="49" fontId="3" fillId="0" borderId="10" xfId="0" applyNumberFormat="1" applyFont="1" applyBorder="1" applyAlignment="1">
      <alignment vertical="center"/>
    </xf>
    <xf numFmtId="0" fontId="13" fillId="0" borderId="37" xfId="0" applyFont="1" applyBorder="1" applyAlignment="1">
      <alignment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0" xfId="0" applyFont="1" applyAlignment="1">
      <alignment horizontal="center" vertical="center"/>
    </xf>
    <xf numFmtId="0" fontId="42" fillId="0" borderId="0" xfId="0" applyFont="1" applyFill="1" applyBorder="1" applyAlignment="1">
      <alignment/>
    </xf>
    <xf numFmtId="0" fontId="3" fillId="0" borderId="24" xfId="0" applyFont="1" applyBorder="1" applyAlignment="1">
      <alignment shrinkToFit="1"/>
    </xf>
    <xf numFmtId="0" fontId="19" fillId="0" borderId="10" xfId="0" applyFont="1" applyBorder="1" applyAlignment="1">
      <alignment shrinkToFit="1"/>
    </xf>
    <xf numFmtId="0" fontId="19" fillId="0" borderId="10" xfId="0" applyFont="1" applyBorder="1" applyAlignment="1">
      <alignment vertical="center" shrinkToFit="1"/>
    </xf>
    <xf numFmtId="0" fontId="18" fillId="0" borderId="10" xfId="0" applyFont="1" applyBorder="1" applyAlignment="1">
      <alignment shrinkToFit="1"/>
    </xf>
    <xf numFmtId="49" fontId="3" fillId="0" borderId="17" xfId="0" applyNumberFormat="1" applyFont="1" applyBorder="1" applyAlignment="1">
      <alignment horizontal="center" vertical="center"/>
    </xf>
    <xf numFmtId="0" fontId="8" fillId="0" borderId="33" xfId="0" applyFont="1" applyBorder="1" applyAlignment="1">
      <alignment/>
    </xf>
    <xf numFmtId="0" fontId="0" fillId="0" borderId="33" xfId="0" applyBorder="1" applyAlignment="1">
      <alignment/>
    </xf>
    <xf numFmtId="49" fontId="12" fillId="0" borderId="10" xfId="0" applyNumberFormat="1" applyFont="1" applyBorder="1" applyAlignment="1">
      <alignment horizontal="center"/>
    </xf>
    <xf numFmtId="0" fontId="12" fillId="0" borderId="17" xfId="0" applyFont="1" applyBorder="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17" fontId="0" fillId="0" borderId="0" xfId="0" applyNumberFormat="1" applyAlignment="1">
      <alignment/>
    </xf>
    <xf numFmtId="170" fontId="5" fillId="0" borderId="0" xfId="0" applyNumberFormat="1" applyFont="1" applyBorder="1" applyAlignment="1">
      <alignment horizontal="center" vertical="center" shrinkToFit="1"/>
    </xf>
    <xf numFmtId="14" fontId="0" fillId="0" borderId="0" xfId="0" applyNumberFormat="1" applyAlignment="1">
      <alignment horizontal="left"/>
    </xf>
    <xf numFmtId="0" fontId="0" fillId="0" borderId="0" xfId="0" applyFont="1" applyBorder="1" applyAlignment="1">
      <alignment vertical="top" wrapText="1"/>
    </xf>
    <xf numFmtId="49" fontId="3" fillId="0" borderId="10" xfId="0" applyNumberFormat="1" applyFont="1" applyBorder="1" applyAlignment="1">
      <alignment horizontal="center" vertical="center"/>
    </xf>
    <xf numFmtId="0" fontId="51" fillId="16" borderId="0" xfId="0" applyFont="1" applyFill="1" applyAlignment="1">
      <alignment/>
    </xf>
    <xf numFmtId="0" fontId="12" fillId="0" borderId="0" xfId="0" applyFont="1" applyAlignment="1">
      <alignment horizontal="right"/>
    </xf>
    <xf numFmtId="0" fontId="0" fillId="0" borderId="0" xfId="0" applyFont="1" applyAlignment="1">
      <alignment/>
    </xf>
    <xf numFmtId="0" fontId="3" fillId="0" borderId="0" xfId="0" applyFont="1" applyFill="1" applyAlignment="1">
      <alignment horizontal="center"/>
    </xf>
    <xf numFmtId="0" fontId="12" fillId="0" borderId="0" xfId="0" applyFont="1" applyFill="1" applyAlignment="1">
      <alignment horizontal="center"/>
    </xf>
    <xf numFmtId="0" fontId="0" fillId="0" borderId="0" xfId="0" applyFill="1" applyAlignment="1">
      <alignment/>
    </xf>
    <xf numFmtId="0" fontId="0" fillId="0" borderId="0" xfId="0" applyBorder="1" applyAlignment="1">
      <alignment shrinkToFit="1"/>
    </xf>
    <xf numFmtId="0" fontId="0" fillId="0" borderId="0" xfId="0" applyFill="1" applyAlignment="1">
      <alignment horizontal="center"/>
    </xf>
    <xf numFmtId="166" fontId="0" fillId="0" borderId="0" xfId="0" applyNumberFormat="1" applyFill="1" applyAlignment="1">
      <alignment/>
    </xf>
    <xf numFmtId="166" fontId="0" fillId="0" borderId="0" xfId="0" applyNumberFormat="1" applyAlignment="1">
      <alignment horizontal="center"/>
    </xf>
    <xf numFmtId="0" fontId="3" fillId="0" borderId="24" xfId="0" applyFont="1" applyBorder="1" applyAlignment="1">
      <alignment horizontal="center" shrinkToFit="1"/>
    </xf>
    <xf numFmtId="0" fontId="0" fillId="0" borderId="0" xfId="0" applyFill="1" applyBorder="1" applyAlignment="1">
      <alignment horizontal="left" vertical="center" wrapText="1"/>
    </xf>
    <xf numFmtId="0" fontId="0" fillId="0" borderId="11" xfId="0" applyFill="1" applyBorder="1" applyAlignment="1">
      <alignment horizontal="left" vertical="center" wrapText="1"/>
    </xf>
    <xf numFmtId="0" fontId="0" fillId="0" borderId="13" xfId="0" applyBorder="1" applyAlignment="1">
      <alignment/>
    </xf>
    <xf numFmtId="0" fontId="4" fillId="0" borderId="10" xfId="0" applyFont="1" applyBorder="1" applyAlignment="1">
      <alignment horizontal="center"/>
    </xf>
    <xf numFmtId="0" fontId="4" fillId="0" borderId="0" xfId="0" applyFont="1" applyAlignment="1">
      <alignment horizontal="center"/>
    </xf>
    <xf numFmtId="0" fontId="0" fillId="0" borderId="10" xfId="0"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Font="1" applyBorder="1" applyAlignment="1">
      <alignment horizontal="center"/>
    </xf>
    <xf numFmtId="0" fontId="0" fillId="0" borderId="10" xfId="0" applyFont="1" applyBorder="1" applyAlignment="1">
      <alignment horizontal="center" shrinkToFi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shrinkToFit="1"/>
    </xf>
    <xf numFmtId="0" fontId="3" fillId="0" borderId="17" xfId="0" applyFont="1" applyBorder="1" applyAlignment="1">
      <alignment vertical="center"/>
    </xf>
    <xf numFmtId="0" fontId="3" fillId="0" borderId="24" xfId="0" applyFont="1" applyBorder="1" applyAlignment="1">
      <alignment vertical="center"/>
    </xf>
    <xf numFmtId="0" fontId="3" fillId="0" borderId="33" xfId="0" applyFont="1" applyBorder="1" applyAlignment="1">
      <alignment vertical="center"/>
    </xf>
    <xf numFmtId="0" fontId="3"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0" fillId="0" borderId="10" xfId="0" applyFont="1" applyBorder="1" applyAlignment="1">
      <alignment horizontal="center" shrinkToFit="1"/>
    </xf>
    <xf numFmtId="0" fontId="0" fillId="0" borderId="10" xfId="0" applyBorder="1" applyAlignment="1">
      <alignment horizontal="center" textRotation="90"/>
    </xf>
    <xf numFmtId="0" fontId="8" fillId="0" borderId="10" xfId="0" applyFont="1" applyBorder="1" applyAlignment="1">
      <alignment horizontal="center" shrinkToFit="1"/>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center"/>
    </xf>
    <xf numFmtId="0" fontId="3" fillId="0" borderId="10" xfId="0" applyFont="1" applyBorder="1" applyAlignment="1">
      <alignment shrinkToFit="1"/>
    </xf>
    <xf numFmtId="0" fontId="12" fillId="0" borderId="10" xfId="0" applyFont="1" applyBorder="1" applyAlignment="1">
      <alignment vertical="center"/>
    </xf>
    <xf numFmtId="0" fontId="13" fillId="0" borderId="15" xfId="0" applyFont="1" applyBorder="1" applyAlignment="1">
      <alignment vertical="center"/>
    </xf>
    <xf numFmtId="0" fontId="0" fillId="0" borderId="0" xfId="0" applyFill="1" applyBorder="1" applyAlignment="1">
      <alignment vertical="center" wrapText="1"/>
    </xf>
    <xf numFmtId="0" fontId="54" fillId="0" borderId="0" xfId="0" applyFont="1" applyAlignment="1">
      <alignment horizontal="center"/>
    </xf>
    <xf numFmtId="0" fontId="56" fillId="0" borderId="0" xfId="0" applyFont="1" applyAlignment="1">
      <alignment horizontal="center"/>
    </xf>
    <xf numFmtId="0" fontId="57" fillId="0" borderId="0" xfId="0" applyFont="1" applyAlignment="1">
      <alignment/>
    </xf>
    <xf numFmtId="0" fontId="13" fillId="0" borderId="0" xfId="0" applyFont="1" applyAlignment="1">
      <alignment/>
    </xf>
    <xf numFmtId="0" fontId="58" fillId="0" borderId="0" xfId="0" applyFont="1" applyAlignment="1">
      <alignment/>
    </xf>
    <xf numFmtId="0" fontId="9" fillId="0" borderId="0" xfId="0" applyFont="1" applyAlignment="1">
      <alignment/>
    </xf>
    <xf numFmtId="0" fontId="60" fillId="0" borderId="0" xfId="0" applyFont="1" applyAlignment="1">
      <alignment/>
    </xf>
    <xf numFmtId="0" fontId="6" fillId="0" borderId="0" xfId="0" applyFont="1" applyAlignment="1">
      <alignment/>
    </xf>
    <xf numFmtId="0" fontId="61" fillId="0" borderId="0" xfId="0" applyFont="1" applyAlignment="1">
      <alignment/>
    </xf>
    <xf numFmtId="0" fontId="6" fillId="0" borderId="0" xfId="0" applyFont="1" applyAlignment="1">
      <alignment/>
    </xf>
    <xf numFmtId="0" fontId="62" fillId="0" borderId="0" xfId="0" applyFont="1" applyAlignment="1">
      <alignment/>
    </xf>
    <xf numFmtId="0" fontId="63" fillId="0" borderId="0" xfId="0" applyFont="1" applyAlignment="1">
      <alignment/>
    </xf>
    <xf numFmtId="0" fontId="5" fillId="0" borderId="0" xfId="0" applyFont="1" applyAlignment="1">
      <alignment/>
    </xf>
    <xf numFmtId="0" fontId="37" fillId="0" borderId="10"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51" xfId="0" applyFont="1" applyBorder="1" applyAlignment="1" applyProtection="1">
      <alignment horizontal="center" vertical="center"/>
      <protection locked="0"/>
    </xf>
    <xf numFmtId="0" fontId="38" fillId="0" borderId="10" xfId="0" applyFont="1" applyBorder="1" applyAlignment="1" applyProtection="1">
      <alignment horizontal="center"/>
      <protection locked="0"/>
    </xf>
    <xf numFmtId="166" fontId="37" fillId="0" borderId="10" xfId="0" applyNumberFormat="1" applyFont="1" applyFill="1" applyBorder="1" applyAlignment="1" applyProtection="1">
      <alignment horizontal="center" vertical="center"/>
      <protection locked="0"/>
    </xf>
    <xf numFmtId="166" fontId="37" fillId="0" borderId="10" xfId="0" applyNumberFormat="1" applyFont="1" applyBorder="1" applyAlignment="1" applyProtection="1">
      <alignment horizontal="center" vertical="center"/>
      <protection locked="0"/>
    </xf>
    <xf numFmtId="0" fontId="37" fillId="0" borderId="10" xfId="0" applyFont="1" applyBorder="1" applyAlignment="1" applyProtection="1">
      <alignment horizontal="center"/>
      <protection locked="0"/>
    </xf>
    <xf numFmtId="0" fontId="37" fillId="0" borderId="10" xfId="0" applyFont="1" applyBorder="1" applyAlignment="1" applyProtection="1">
      <alignment horizontal="center" vertical="top"/>
      <protection locked="0"/>
    </xf>
    <xf numFmtId="166" fontId="37" fillId="0" borderId="10" xfId="0" applyNumberFormat="1" applyFont="1" applyBorder="1" applyAlignment="1" applyProtection="1">
      <alignment horizontal="center"/>
      <protection locked="0"/>
    </xf>
    <xf numFmtId="0" fontId="37" fillId="0" borderId="51" xfId="0" applyFont="1" applyBorder="1" applyAlignment="1" applyProtection="1">
      <alignment horizontal="center"/>
      <protection locked="0"/>
    </xf>
    <xf numFmtId="0" fontId="37" fillId="0" borderId="33" xfId="0" applyFont="1" applyBorder="1" applyAlignment="1" applyProtection="1">
      <alignment horizontal="center"/>
      <protection locked="0"/>
    </xf>
    <xf numFmtId="0" fontId="52" fillId="0" borderId="10" xfId="0" applyFont="1" applyBorder="1" applyAlignment="1" applyProtection="1">
      <alignment horizontal="center" vertical="center"/>
      <protection locked="0"/>
    </xf>
    <xf numFmtId="0" fontId="12" fillId="0" borderId="0" xfId="0" applyFont="1" applyFill="1" applyBorder="1" applyAlignment="1">
      <alignment horizontal="center" vertical="center"/>
    </xf>
    <xf numFmtId="0" fontId="37" fillId="0" borderId="33" xfId="0" applyFont="1" applyFill="1" applyBorder="1" applyAlignment="1" applyProtection="1">
      <alignment horizontal="center" vertical="center"/>
      <protection locked="0"/>
    </xf>
    <xf numFmtId="0" fontId="2" fillId="0" borderId="0" xfId="0" applyFont="1" applyAlignment="1">
      <alignment vertical="top"/>
    </xf>
    <xf numFmtId="0" fontId="22" fillId="0" borderId="0" xfId="0" applyFont="1" applyBorder="1" applyAlignment="1">
      <alignment/>
    </xf>
    <xf numFmtId="0" fontId="22" fillId="0" borderId="0" xfId="0" applyFont="1" applyBorder="1" applyAlignment="1">
      <alignment vertical="top"/>
    </xf>
    <xf numFmtId="0" fontId="24" fillId="0" borderId="0" xfId="0" applyFont="1" applyBorder="1" applyAlignment="1">
      <alignment/>
    </xf>
    <xf numFmtId="0" fontId="22" fillId="0" borderId="0" xfId="0" applyFont="1" applyBorder="1" applyAlignment="1">
      <alignment vertical="center"/>
    </xf>
    <xf numFmtId="0" fontId="25" fillId="0" borderId="0" xfId="0" applyFont="1" applyFill="1" applyBorder="1" applyAlignment="1">
      <alignment horizontal="center" vertical="center"/>
    </xf>
    <xf numFmtId="0" fontId="2" fillId="0" borderId="0" xfId="0" applyFont="1" applyBorder="1" applyAlignment="1">
      <alignment/>
    </xf>
    <xf numFmtId="0" fontId="2" fillId="0" borderId="0" xfId="0" applyFont="1" applyBorder="1" applyAlignment="1">
      <alignment/>
    </xf>
    <xf numFmtId="0" fontId="41" fillId="0" borderId="0" xfId="0" applyFont="1" applyBorder="1" applyAlignment="1">
      <alignment/>
    </xf>
    <xf numFmtId="0" fontId="2" fillId="0" borderId="0" xfId="0" applyFont="1" applyBorder="1" applyAlignment="1">
      <alignment vertical="center"/>
    </xf>
    <xf numFmtId="0" fontId="31" fillId="0" borderId="0" xfId="0" applyFont="1" applyBorder="1" applyAlignment="1">
      <alignment vertical="center"/>
    </xf>
    <xf numFmtId="0" fontId="24" fillId="0" borderId="0" xfId="0" applyFont="1" applyBorder="1" applyAlignment="1">
      <alignment/>
    </xf>
    <xf numFmtId="0" fontId="22" fillId="0" borderId="0" xfId="0" applyFont="1" applyBorder="1" applyAlignment="1">
      <alignment/>
    </xf>
    <xf numFmtId="0" fontId="24" fillId="0" borderId="0" xfId="0" applyFont="1" applyBorder="1" applyAlignment="1">
      <alignment wrapText="1"/>
    </xf>
    <xf numFmtId="0" fontId="65" fillId="0" borderId="0" xfId="0" applyFont="1" applyAlignment="1">
      <alignment/>
    </xf>
    <xf numFmtId="0" fontId="37" fillId="0" borderId="10" xfId="0" applyFont="1" applyBorder="1" applyAlignment="1" applyProtection="1">
      <alignment horizontal="left" vertical="center"/>
      <protection locked="0"/>
    </xf>
    <xf numFmtId="0" fontId="37" fillId="0" borderId="0" xfId="0" applyFont="1" applyBorder="1" applyAlignment="1" applyProtection="1">
      <alignment horizontal="left"/>
      <protection/>
    </xf>
    <xf numFmtId="0" fontId="33"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4" fillId="0" borderId="0" xfId="0" applyFont="1" applyBorder="1" applyAlignment="1" applyProtection="1">
      <alignment horizontal="left"/>
      <protection/>
    </xf>
    <xf numFmtId="0" fontId="37" fillId="0" borderId="0" xfId="0" applyFont="1" applyBorder="1" applyAlignment="1" applyProtection="1">
      <alignment horizontal="left" vertical="center"/>
      <protection/>
    </xf>
    <xf numFmtId="0" fontId="30" fillId="0" borderId="0" xfId="0" applyFont="1" applyBorder="1" applyAlignment="1" applyProtection="1">
      <alignment horizontal="left"/>
      <protection/>
    </xf>
    <xf numFmtId="0" fontId="22" fillId="0" borderId="0" xfId="0" applyFont="1" applyBorder="1" applyAlignment="1" applyProtection="1">
      <alignment horizontal="left" vertical="center"/>
      <protection/>
    </xf>
    <xf numFmtId="0" fontId="53" fillId="0" borderId="0" xfId="0" applyFont="1" applyBorder="1" applyAlignment="1" applyProtection="1">
      <alignment horizontal="left"/>
      <protection/>
    </xf>
    <xf numFmtId="0" fontId="53"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Border="1" applyAlignment="1" applyProtection="1">
      <alignment horizontal="left"/>
      <protection/>
    </xf>
    <xf numFmtId="0" fontId="22" fillId="0" borderId="0" xfId="0" applyFont="1" applyBorder="1" applyAlignment="1" applyProtection="1">
      <alignment horizontal="left" vertical="top"/>
      <protection/>
    </xf>
    <xf numFmtId="0" fontId="24" fillId="0" borderId="0" xfId="0" applyFont="1" applyBorder="1" applyAlignment="1" applyProtection="1">
      <alignment horizontal="left"/>
      <protection/>
    </xf>
    <xf numFmtId="0" fontId="22" fillId="0" borderId="0" xfId="0" applyFont="1" applyBorder="1" applyAlignment="1" applyProtection="1">
      <alignment horizontal="left"/>
      <protection/>
    </xf>
    <xf numFmtId="0" fontId="24" fillId="0" borderId="0" xfId="0" applyFont="1" applyBorder="1" applyAlignment="1" applyProtection="1">
      <alignment horizontal="left" vertical="top"/>
      <protection/>
    </xf>
    <xf numFmtId="0" fontId="24" fillId="0" borderId="0" xfId="0" applyFont="1" applyBorder="1" applyAlignment="1" applyProtection="1">
      <alignment horizontal="left" wrapText="1"/>
      <protection/>
    </xf>
    <xf numFmtId="0" fontId="24" fillId="0" borderId="0" xfId="0" applyFont="1" applyBorder="1" applyAlignment="1" applyProtection="1">
      <alignment horizontal="left" vertical="center"/>
      <protection/>
    </xf>
    <xf numFmtId="0" fontId="66" fillId="0" borderId="0" xfId="0" applyFont="1" applyAlignment="1">
      <alignment/>
    </xf>
    <xf numFmtId="0" fontId="2" fillId="0" borderId="33" xfId="0" applyFont="1" applyBorder="1" applyAlignment="1">
      <alignment/>
    </xf>
    <xf numFmtId="14" fontId="3" fillId="0" borderId="33" xfId="0" applyNumberFormat="1" applyFont="1" applyBorder="1" applyAlignment="1">
      <alignment horizontal="center" shrinkToFit="1"/>
    </xf>
    <xf numFmtId="0" fontId="18" fillId="0" borderId="0" xfId="0" applyFont="1" applyAlignment="1">
      <alignment/>
    </xf>
    <xf numFmtId="0" fontId="3" fillId="0" borderId="0" xfId="0" applyFont="1" applyAlignment="1">
      <alignment vertical="center"/>
    </xf>
    <xf numFmtId="0" fontId="39" fillId="0" borderId="0" xfId="0" applyFont="1" applyBorder="1" applyAlignment="1" applyProtection="1">
      <alignment vertical="center" wrapText="1"/>
      <protection/>
    </xf>
    <xf numFmtId="0" fontId="42" fillId="0" borderId="28" xfId="0" applyFont="1" applyFill="1" applyBorder="1" applyAlignment="1">
      <alignment/>
    </xf>
    <xf numFmtId="0" fontId="2" fillId="0" borderId="10" xfId="0" applyFont="1" applyBorder="1" applyAlignment="1">
      <alignment horizontal="center"/>
    </xf>
    <xf numFmtId="0" fontId="67" fillId="0" borderId="10" xfId="0" applyFont="1" applyBorder="1" applyAlignment="1">
      <alignment horizontal="center"/>
    </xf>
    <xf numFmtId="0" fontId="5" fillId="24" borderId="12" xfId="0" applyFont="1" applyFill="1" applyBorder="1" applyAlignment="1">
      <alignment horizontal="center" vertical="center" textRotation="90"/>
    </xf>
    <xf numFmtId="0" fontId="12" fillId="25" borderId="10" xfId="0" applyFont="1" applyFill="1" applyBorder="1" applyAlignment="1">
      <alignment horizontal="left"/>
    </xf>
    <xf numFmtId="0" fontId="12" fillId="6" borderId="10" xfId="0" applyFont="1" applyFill="1" applyBorder="1" applyAlignment="1">
      <alignment horizontal="left"/>
    </xf>
    <xf numFmtId="0" fontId="12" fillId="23" borderId="10" xfId="0" applyFont="1" applyFill="1" applyBorder="1" applyAlignment="1">
      <alignment horizontal="left" vertical="center" wrapText="1"/>
    </xf>
    <xf numFmtId="0" fontId="5" fillId="0" borderId="10" xfId="0" applyFont="1" applyFill="1" applyBorder="1" applyAlignment="1">
      <alignment horizontal="left" vertical="center" textRotation="90"/>
    </xf>
    <xf numFmtId="167" fontId="0" fillId="0" borderId="10" xfId="0" applyNumberFormat="1" applyBorder="1" applyAlignment="1">
      <alignment/>
    </xf>
    <xf numFmtId="166" fontId="8" fillId="0" borderId="10" xfId="0" applyNumberFormat="1" applyFont="1" applyBorder="1" applyAlignment="1">
      <alignment shrinkToFit="1"/>
    </xf>
    <xf numFmtId="49" fontId="0" fillId="0" borderId="10" xfId="0" applyNumberForma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right" vertical="center"/>
    </xf>
    <xf numFmtId="0" fontId="28" fillId="0" borderId="10" xfId="0" applyFont="1" applyBorder="1" applyAlignment="1">
      <alignment shrinkToFit="1"/>
    </xf>
    <xf numFmtId="0" fontId="28" fillId="0" borderId="15" xfId="0" applyFont="1" applyBorder="1" applyAlignment="1">
      <alignment shrinkToFit="1"/>
    </xf>
    <xf numFmtId="0" fontId="28" fillId="0" borderId="23" xfId="0" applyFont="1" applyBorder="1" applyAlignment="1">
      <alignment shrinkToFit="1"/>
    </xf>
    <xf numFmtId="0" fontId="12" fillId="0" borderId="10" xfId="0" applyFont="1" applyBorder="1" applyAlignment="1">
      <alignment horizontal="center" vertical="center" textRotation="90"/>
    </xf>
    <xf numFmtId="0" fontId="12" fillId="0" borderId="10" xfId="0" applyFont="1" applyBorder="1" applyAlignment="1">
      <alignment horizontal="center" vertical="center" textRotation="90" wrapText="1"/>
    </xf>
    <xf numFmtId="0" fontId="12" fillId="0" borderId="10" xfId="0" applyFont="1" applyBorder="1" applyAlignment="1">
      <alignment horizontal="center" vertical="center" textRotation="90" wrapText="1" shrinkToFit="1"/>
    </xf>
    <xf numFmtId="0" fontId="0" fillId="0" borderId="10" xfId="0" applyBorder="1" applyAlignment="1">
      <alignment horizontal="left" vertical="center" shrinkToFit="1"/>
    </xf>
    <xf numFmtId="168" fontId="0" fillId="0" borderId="10" xfId="0" applyNumberFormat="1" applyBorder="1" applyAlignment="1">
      <alignment horizontal="left" vertical="center"/>
    </xf>
    <xf numFmtId="165" fontId="13" fillId="0" borderId="0" xfId="0" applyNumberFormat="1" applyFont="1" applyAlignment="1">
      <alignment/>
    </xf>
    <xf numFmtId="0" fontId="13" fillId="0" borderId="0" xfId="0" applyNumberFormat="1" applyFont="1" applyAlignment="1">
      <alignment/>
    </xf>
    <xf numFmtId="166" fontId="12" fillId="0" borderId="10" xfId="0" applyNumberFormat="1" applyFont="1" applyBorder="1" applyAlignment="1">
      <alignment shrinkToFit="1"/>
    </xf>
    <xf numFmtId="0" fontId="5" fillId="26" borderId="51" xfId="0" applyFont="1" applyFill="1" applyBorder="1" applyAlignment="1">
      <alignment vertical="center" textRotation="90"/>
    </xf>
    <xf numFmtId="0" fontId="5" fillId="26" borderId="52" xfId="0" applyFont="1" applyFill="1" applyBorder="1" applyAlignment="1">
      <alignment vertical="center" textRotation="90"/>
    </xf>
    <xf numFmtId="0" fontId="0" fillId="0" borderId="33" xfId="0" applyNumberFormat="1" applyBorder="1" applyAlignment="1">
      <alignment/>
    </xf>
    <xf numFmtId="0" fontId="0" fillId="0" borderId="21" xfId="0" applyNumberFormat="1" applyBorder="1" applyAlignment="1">
      <alignment/>
    </xf>
    <xf numFmtId="0" fontId="0" fillId="0" borderId="0" xfId="0" applyFill="1" applyAlignment="1">
      <alignment/>
    </xf>
    <xf numFmtId="166" fontId="0" fillId="0" borderId="0" xfId="0" applyNumberFormat="1" applyFill="1" applyAlignment="1">
      <alignment/>
    </xf>
    <xf numFmtId="0" fontId="0" fillId="0" borderId="0" xfId="0" applyNumberFormat="1" applyFill="1" applyAlignment="1">
      <alignment/>
    </xf>
    <xf numFmtId="171" fontId="0" fillId="0" borderId="10" xfId="0" applyNumberFormat="1" applyBorder="1" applyAlignment="1">
      <alignment/>
    </xf>
    <xf numFmtId="171" fontId="0" fillId="0" borderId="0" xfId="0" applyNumberFormat="1" applyAlignment="1">
      <alignment/>
    </xf>
    <xf numFmtId="171" fontId="0" fillId="0" borderId="0" xfId="0" applyNumberFormat="1" applyFill="1" applyAlignment="1">
      <alignment/>
    </xf>
    <xf numFmtId="172" fontId="0" fillId="0" borderId="0" xfId="0" applyNumberFormat="1" applyAlignment="1">
      <alignment/>
    </xf>
    <xf numFmtId="166" fontId="0" fillId="0" borderId="10" xfId="0" applyNumberFormat="1" applyFill="1" applyBorder="1" applyAlignment="1">
      <alignment/>
    </xf>
    <xf numFmtId="0" fontId="0" fillId="0" borderId="10" xfId="0" applyFill="1" applyBorder="1" applyAlignment="1">
      <alignment/>
    </xf>
    <xf numFmtId="0" fontId="0" fillId="0" borderId="10" xfId="0" applyNumberFormat="1" applyBorder="1" applyAlignment="1">
      <alignment/>
    </xf>
    <xf numFmtId="0" fontId="39" fillId="0" borderId="10" xfId="0" applyFont="1" applyBorder="1" applyAlignment="1">
      <alignment/>
    </xf>
    <xf numFmtId="14" fontId="0" fillId="0" borderId="0" xfId="0" applyNumberFormat="1" applyFill="1" applyAlignment="1">
      <alignment/>
    </xf>
    <xf numFmtId="166" fontId="0" fillId="0" borderId="10" xfId="0" applyNumberFormat="1" applyFont="1" applyBorder="1" applyAlignment="1">
      <alignment/>
    </xf>
    <xf numFmtId="0" fontId="0" fillId="0" borderId="10" xfId="0" applyBorder="1" applyAlignment="1">
      <alignment/>
    </xf>
    <xf numFmtId="14" fontId="0" fillId="0" borderId="0" xfId="0" applyNumberFormat="1" applyAlignment="1">
      <alignment/>
    </xf>
    <xf numFmtId="0" fontId="0" fillId="0" borderId="0" xfId="0" applyNumberFormat="1" applyFont="1" applyAlignment="1">
      <alignment/>
    </xf>
    <xf numFmtId="0" fontId="12" fillId="23" borderId="10" xfId="0" applyFont="1" applyFill="1" applyBorder="1" applyAlignment="1">
      <alignment horizontal="left"/>
    </xf>
    <xf numFmtId="0" fontId="5" fillId="26" borderId="0" xfId="0" applyFont="1" applyFill="1" applyBorder="1" applyAlignment="1">
      <alignment vertical="center" textRotation="90"/>
    </xf>
    <xf numFmtId="0" fontId="64" fillId="0" borderId="0" xfId="0" applyFont="1" applyBorder="1" applyAlignment="1" applyProtection="1">
      <alignment horizontal="left" vertical="center"/>
      <protection locked="0"/>
    </xf>
    <xf numFmtId="14" fontId="64" fillId="0" borderId="10" xfId="0" applyNumberFormat="1" applyFont="1" applyBorder="1" applyAlignment="1" applyProtection="1">
      <alignment horizontal="left" vertical="center"/>
      <protection locked="0"/>
    </xf>
    <xf numFmtId="0" fontId="29" fillId="27" borderId="0" xfId="0" applyFont="1" applyFill="1" applyBorder="1" applyAlignment="1" applyProtection="1">
      <alignment horizontal="left" vertical="center"/>
      <protection locked="0"/>
    </xf>
    <xf numFmtId="0" fontId="5" fillId="6" borderId="0" xfId="0" applyFont="1" applyFill="1" applyBorder="1" applyAlignment="1">
      <alignment horizontal="left" vertical="center" textRotation="90"/>
    </xf>
    <xf numFmtId="0" fontId="12" fillId="6" borderId="0" xfId="0" applyFont="1" applyFill="1" applyBorder="1" applyAlignment="1">
      <alignment horizontal="left" vertical="center" wrapText="1"/>
    </xf>
    <xf numFmtId="0" fontId="5" fillId="6" borderId="0" xfId="0" applyFont="1" applyFill="1" applyBorder="1" applyAlignment="1">
      <alignment vertical="center" textRotation="90"/>
    </xf>
    <xf numFmtId="0" fontId="12" fillId="4" borderId="10" xfId="0" applyFont="1" applyFill="1" applyBorder="1" applyAlignment="1">
      <alignment horizontal="left" vertical="center" wrapText="1"/>
    </xf>
    <xf numFmtId="0" fontId="12" fillId="4" borderId="10" xfId="0" applyFont="1" applyFill="1" applyBorder="1" applyAlignment="1">
      <alignment horizontal="left"/>
    </xf>
    <xf numFmtId="0" fontId="90" fillId="6" borderId="0" xfId="0" applyFont="1" applyFill="1" applyBorder="1" applyAlignment="1">
      <alignment horizontal="left" vertical="center" wrapText="1"/>
    </xf>
    <xf numFmtId="0" fontId="90" fillId="6" borderId="0" xfId="0" applyFont="1" applyFill="1" applyBorder="1" applyAlignment="1">
      <alignment horizontal="left"/>
    </xf>
    <xf numFmtId="0" fontId="0" fillId="0" borderId="0" xfId="0" applyFont="1" applyBorder="1" applyAlignment="1">
      <alignment/>
    </xf>
    <xf numFmtId="0" fontId="0" fillId="0" borderId="0" xfId="0" applyFill="1" applyBorder="1" applyAlignment="1">
      <alignment/>
    </xf>
    <xf numFmtId="0" fontId="0" fillId="0" borderId="0" xfId="0" applyFont="1" applyFill="1" applyAlignment="1">
      <alignment/>
    </xf>
    <xf numFmtId="0" fontId="2" fillId="0" borderId="17" xfId="0" applyFont="1" applyBorder="1" applyAlignment="1">
      <alignment/>
    </xf>
    <xf numFmtId="0" fontId="2" fillId="0" borderId="24" xfId="0" applyFont="1" applyBorder="1" applyAlignment="1">
      <alignment/>
    </xf>
    <xf numFmtId="0" fontId="67" fillId="0" borderId="17" xfId="0" applyFont="1" applyBorder="1" applyAlignment="1">
      <alignment/>
    </xf>
    <xf numFmtId="0" fontId="67" fillId="0" borderId="24" xfId="0" applyFont="1" applyBorder="1" applyAlignment="1">
      <alignment/>
    </xf>
    <xf numFmtId="0" fontId="2" fillId="0" borderId="33" xfId="0" applyFont="1" applyBorder="1" applyAlignment="1">
      <alignment/>
    </xf>
    <xf numFmtId="0" fontId="0" fillId="0" borderId="13" xfId="0" applyFont="1" applyBorder="1" applyAlignment="1">
      <alignment horizontal="left"/>
    </xf>
    <xf numFmtId="0" fontId="0" fillId="0" borderId="15" xfId="0" applyBorder="1" applyAlignment="1">
      <alignment horizontal="center"/>
    </xf>
    <xf numFmtId="0" fontId="0" fillId="0" borderId="23" xfId="0" applyBorder="1" applyAlignment="1">
      <alignment horizontal="center"/>
    </xf>
    <xf numFmtId="0" fontId="2" fillId="0" borderId="15" xfId="0" applyFont="1" applyBorder="1" applyAlignment="1">
      <alignment horizontal="left"/>
    </xf>
    <xf numFmtId="0" fontId="2" fillId="0" borderId="34" xfId="0" applyFont="1" applyBorder="1" applyAlignment="1">
      <alignment horizontal="left"/>
    </xf>
    <xf numFmtId="0" fontId="2" fillId="0" borderId="23" xfId="0" applyFont="1" applyBorder="1" applyAlignment="1">
      <alignment/>
    </xf>
    <xf numFmtId="0" fontId="2" fillId="0" borderId="17" xfId="0" applyFont="1" applyBorder="1" applyAlignment="1">
      <alignment horizontal="left" vertical="top"/>
    </xf>
    <xf numFmtId="0" fontId="2" fillId="0" borderId="24" xfId="0" applyFont="1" applyBorder="1" applyAlignment="1">
      <alignment horizontal="left" vertical="top"/>
    </xf>
    <xf numFmtId="166" fontId="0" fillId="0" borderId="33" xfId="0" applyNumberFormat="1" applyBorder="1" applyAlignment="1">
      <alignment horizontal="left" vertical="top"/>
    </xf>
    <xf numFmtId="0" fontId="2" fillId="0" borderId="10" xfId="0" applyFont="1" applyBorder="1" applyAlignment="1">
      <alignment horizontal="center" vertical="top"/>
    </xf>
    <xf numFmtId="49" fontId="3" fillId="0" borderId="0" xfId="0" applyNumberFormat="1" applyFont="1" applyAlignment="1">
      <alignment/>
    </xf>
    <xf numFmtId="0" fontId="2" fillId="0" borderId="53" xfId="0" applyFont="1" applyBorder="1" applyAlignment="1">
      <alignment/>
    </xf>
    <xf numFmtId="0" fontId="0" fillId="0" borderId="14" xfId="0" applyFont="1" applyBorder="1" applyAlignment="1">
      <alignment horizontal="left"/>
    </xf>
    <xf numFmtId="0" fontId="2" fillId="0" borderId="0" xfId="0" applyFont="1" applyBorder="1" applyAlignment="1">
      <alignment horizontal="left"/>
    </xf>
    <xf numFmtId="0" fontId="2" fillId="0" borderId="21" xfId="0" applyFont="1" applyBorder="1" applyAlignment="1">
      <alignment/>
    </xf>
    <xf numFmtId="0" fontId="39" fillId="0" borderId="0" xfId="0" applyFont="1" applyBorder="1" applyAlignment="1" applyProtection="1">
      <alignment horizontal="center" vertical="center" wrapText="1"/>
      <protection/>
    </xf>
    <xf numFmtId="0" fontId="39" fillId="0" borderId="13" xfId="0" applyFont="1" applyBorder="1" applyAlignment="1" applyProtection="1">
      <alignment horizontal="center" vertical="center" wrapText="1"/>
      <protection/>
    </xf>
    <xf numFmtId="0" fontId="8" fillId="0" borderId="13" xfId="0" applyFont="1" applyBorder="1" applyAlignment="1">
      <alignment shrinkToFit="1"/>
    </xf>
    <xf numFmtId="0" fontId="8" fillId="0" borderId="0" xfId="0" applyFont="1" applyBorder="1" applyAlignment="1">
      <alignment shrinkToFit="1"/>
    </xf>
    <xf numFmtId="166" fontId="28" fillId="0" borderId="15" xfId="0" applyNumberFormat="1" applyFont="1" applyBorder="1" applyAlignment="1">
      <alignment shrinkToFit="1"/>
    </xf>
    <xf numFmtId="0" fontId="8" fillId="0" borderId="51" xfId="0" applyFont="1" applyBorder="1" applyAlignment="1">
      <alignment shrinkToFit="1"/>
    </xf>
    <xf numFmtId="0" fontId="8" fillId="0" borderId="32" xfId="0" applyFont="1" applyBorder="1" applyAlignment="1">
      <alignment shrinkToFit="1"/>
    </xf>
    <xf numFmtId="0" fontId="28" fillId="0" borderId="0" xfId="0" applyFont="1" applyBorder="1" applyAlignment="1">
      <alignment shrinkToFit="1"/>
    </xf>
    <xf numFmtId="0" fontId="8" fillId="0" borderId="34" xfId="0" applyFont="1" applyBorder="1" applyAlignment="1">
      <alignment shrinkToFit="1"/>
    </xf>
    <xf numFmtId="0" fontId="8" fillId="0" borderId="53" xfId="0" applyFont="1" applyBorder="1" applyAlignment="1">
      <alignment shrinkToFit="1"/>
    </xf>
    <xf numFmtId="0" fontId="8" fillId="0" borderId="15" xfId="0" applyFont="1" applyBorder="1" applyAlignment="1">
      <alignment shrinkToFi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12" fillId="0" borderId="51" xfId="0" applyFont="1" applyBorder="1" applyAlignment="1">
      <alignment vertical="center" textRotation="90" shrinkToFit="1"/>
    </xf>
    <xf numFmtId="0" fontId="12" fillId="0" borderId="51" xfId="0" applyFont="1" applyBorder="1" applyAlignment="1">
      <alignment vertical="center" shrinkToFit="1"/>
    </xf>
    <xf numFmtId="0" fontId="12" fillId="0" borderId="52" xfId="0" applyFont="1" applyBorder="1" applyAlignment="1">
      <alignment vertical="center" textRotation="90" shrinkToFit="1"/>
    </xf>
    <xf numFmtId="0" fontId="12" fillId="0" borderId="52" xfId="0" applyFont="1" applyBorder="1" applyAlignment="1">
      <alignment vertical="center" shrinkToFit="1"/>
    </xf>
    <xf numFmtId="0" fontId="12" fillId="0" borderId="32" xfId="0" applyFont="1" applyBorder="1" applyAlignment="1">
      <alignment vertical="center" textRotation="90" shrinkToFit="1"/>
    </xf>
    <xf numFmtId="0" fontId="12" fillId="0" borderId="32" xfId="0" applyFont="1" applyBorder="1" applyAlignment="1">
      <alignment vertical="center" shrinkToFit="1"/>
    </xf>
    <xf numFmtId="0" fontId="0" fillId="0" borderId="51" xfId="0" applyBorder="1" applyAlignment="1">
      <alignment horizontal="center"/>
    </xf>
    <xf numFmtId="0" fontId="0" fillId="0" borderId="10" xfId="0" applyNumberFormat="1" applyBorder="1" applyAlignment="1">
      <alignment horizontal="left" vertical="center"/>
    </xf>
    <xf numFmtId="166" fontId="0" fillId="0" borderId="10" xfId="0" applyNumberFormat="1" applyBorder="1" applyAlignment="1">
      <alignment/>
    </xf>
    <xf numFmtId="0" fontId="12" fillId="0" borderId="10" xfId="0" applyFont="1" applyBorder="1" applyAlignment="1">
      <alignment/>
    </xf>
    <xf numFmtId="166" fontId="12" fillId="0" borderId="10" xfId="0" applyNumberFormat="1" applyFont="1" applyBorder="1" applyAlignment="1">
      <alignment/>
    </xf>
    <xf numFmtId="0" fontId="91" fillId="0" borderId="0" xfId="0" applyFont="1" applyAlignment="1">
      <alignment/>
    </xf>
    <xf numFmtId="166" fontId="0" fillId="0" borderId="52" xfId="0" applyNumberFormat="1" applyFill="1" applyBorder="1" applyAlignment="1">
      <alignment/>
    </xf>
    <xf numFmtId="0" fontId="58" fillId="0" borderId="0" xfId="0" applyFont="1" applyAlignment="1" quotePrefix="1">
      <alignment horizontal="right"/>
    </xf>
    <xf numFmtId="0" fontId="58" fillId="0" borderId="0" xfId="0" applyFont="1" applyAlignment="1">
      <alignment horizontal="right"/>
    </xf>
    <xf numFmtId="0" fontId="65" fillId="0" borderId="0" xfId="0" applyFont="1" applyFill="1" applyBorder="1" applyAlignment="1">
      <alignment horizontal="left"/>
    </xf>
    <xf numFmtId="0" fontId="19" fillId="0" borderId="0" xfId="0" applyFont="1" applyAlignment="1">
      <alignment/>
    </xf>
    <xf numFmtId="0" fontId="37" fillId="0" borderId="51" xfId="0" applyFont="1" applyBorder="1" applyAlignment="1" applyProtection="1">
      <alignment horizontal="left"/>
      <protection locked="0"/>
    </xf>
    <xf numFmtId="0" fontId="37" fillId="0" borderId="51" xfId="0" applyFont="1" applyBorder="1" applyAlignment="1" applyProtection="1">
      <alignment horizontal="left" vertical="center"/>
      <protection locked="0"/>
    </xf>
    <xf numFmtId="0" fontId="37" fillId="0" borderId="51" xfId="0" applyFont="1" applyBorder="1" applyAlignment="1" applyProtection="1">
      <alignment horizontal="left" wrapText="1"/>
      <protection locked="0"/>
    </xf>
    <xf numFmtId="0" fontId="37" fillId="0" borderId="52" xfId="0" applyFont="1" applyBorder="1" applyAlignment="1" applyProtection="1">
      <alignment horizontal="left" vertical="center"/>
      <protection locked="0"/>
    </xf>
    <xf numFmtId="0" fontId="64" fillId="0" borderId="32" xfId="0" applyFont="1" applyBorder="1" applyAlignment="1" applyProtection="1">
      <alignment horizontal="left" vertical="center"/>
      <protection locked="0"/>
    </xf>
    <xf numFmtId="0" fontId="0" fillId="27" borderId="0" xfId="0" applyFont="1" applyFill="1" applyAlignment="1">
      <alignment horizontal="left"/>
    </xf>
    <xf numFmtId="0" fontId="12" fillId="0" borderId="0" xfId="0" applyFont="1" applyFill="1" applyAlignment="1">
      <alignment/>
    </xf>
    <xf numFmtId="167" fontId="0" fillId="0" borderId="0" xfId="0" applyNumberFormat="1" applyFon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7" xfId="0" applyFont="1" applyBorder="1" applyAlignment="1">
      <alignment/>
    </xf>
    <xf numFmtId="0" fontId="3" fillId="0" borderId="17" xfId="0" applyFont="1" applyBorder="1" applyAlignment="1">
      <alignment horizontal="center" vertical="top"/>
    </xf>
    <xf numFmtId="0" fontId="2" fillId="0" borderId="17" xfId="0" applyFont="1" applyBorder="1" applyAlignment="1">
      <alignment vertical="center"/>
    </xf>
    <xf numFmtId="173" fontId="37" fillId="0" borderId="17" xfId="0" applyNumberFormat="1" applyFont="1" applyBorder="1" applyAlignment="1" applyProtection="1">
      <alignment horizontal="left"/>
      <protection locked="0"/>
    </xf>
    <xf numFmtId="173" fontId="37" fillId="0" borderId="24" xfId="0" applyNumberFormat="1" applyFont="1" applyBorder="1" applyAlignment="1" applyProtection="1">
      <alignment horizontal="left"/>
      <protection locked="0"/>
    </xf>
    <xf numFmtId="173" fontId="37" fillId="0" borderId="33" xfId="0" applyNumberFormat="1" applyFont="1" applyBorder="1" applyAlignment="1" applyProtection="1">
      <alignment horizontal="left"/>
      <protection locked="0"/>
    </xf>
    <xf numFmtId="0" fontId="3" fillId="0" borderId="17" xfId="0" applyFont="1" applyBorder="1" applyAlignment="1">
      <alignment horizontal="left"/>
    </xf>
    <xf numFmtId="0" fontId="3" fillId="0" borderId="24" xfId="0" applyFont="1" applyBorder="1" applyAlignment="1">
      <alignment horizontal="left"/>
    </xf>
    <xf numFmtId="0" fontId="3" fillId="0" borderId="33" xfId="0" applyFont="1" applyBorder="1" applyAlignment="1">
      <alignment horizontal="left"/>
    </xf>
    <xf numFmtId="0" fontId="2" fillId="0" borderId="14" xfId="0" applyFont="1" applyBorder="1" applyAlignment="1">
      <alignment horizontal="left"/>
    </xf>
    <xf numFmtId="0" fontId="12" fillId="6" borderId="10" xfId="0" applyFont="1" applyFill="1" applyBorder="1" applyAlignment="1">
      <alignment horizontal="left"/>
    </xf>
    <xf numFmtId="0" fontId="12" fillId="23" borderId="10" xfId="0" applyFont="1" applyFill="1" applyBorder="1" applyAlignment="1">
      <alignment horizontal="left"/>
    </xf>
    <xf numFmtId="0" fontId="3" fillId="0" borderId="10" xfId="0" applyFont="1" applyBorder="1" applyAlignment="1">
      <alignment horizontal="center"/>
    </xf>
    <xf numFmtId="166" fontId="3" fillId="0" borderId="10" xfId="0" applyNumberFormat="1" applyFont="1" applyBorder="1" applyAlignment="1">
      <alignment horizontal="center"/>
    </xf>
    <xf numFmtId="0" fontId="3" fillId="0" borderId="10" xfId="0" applyFont="1" applyBorder="1" applyAlignment="1">
      <alignment/>
    </xf>
    <xf numFmtId="0" fontId="2" fillId="0" borderId="54" xfId="0" applyFont="1" applyBorder="1" applyAlignment="1">
      <alignment horizontal="left"/>
    </xf>
    <xf numFmtId="0" fontId="2" fillId="0" borderId="34"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center" vertical="center" shrinkToFit="1"/>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35" fillId="0" borderId="36" xfId="0" applyFont="1" applyBorder="1" applyAlignment="1">
      <alignment horizontal="center" vertical="center"/>
    </xf>
    <xf numFmtId="0" fontId="12" fillId="0" borderId="0" xfId="0" applyFont="1" applyBorder="1" applyAlignment="1">
      <alignment horizontal="center" vertical="center"/>
    </xf>
    <xf numFmtId="0" fontId="12" fillId="0" borderId="35" xfId="0" applyFont="1" applyBorder="1" applyAlignment="1">
      <alignment horizontal="center" vertical="center"/>
    </xf>
    <xf numFmtId="0" fontId="0" fillId="0" borderId="54" xfId="0" applyBorder="1" applyAlignment="1">
      <alignment horizontal="right" vertical="center"/>
    </xf>
    <xf numFmtId="0" fontId="0" fillId="0" borderId="34" xfId="0" applyBorder="1" applyAlignment="1">
      <alignment horizontal="right" vertical="center"/>
    </xf>
    <xf numFmtId="0" fontId="0" fillId="0" borderId="39" xfId="0" applyBorder="1" applyAlignment="1">
      <alignment horizontal="right" vertical="center"/>
    </xf>
    <xf numFmtId="0" fontId="5" fillId="0" borderId="0" xfId="0" applyNumberFormat="1" applyFont="1" applyBorder="1" applyAlignment="1">
      <alignment horizontal="center" vertical="center"/>
    </xf>
    <xf numFmtId="0" fontId="0" fillId="0" borderId="0" xfId="0" applyBorder="1" applyAlignment="1">
      <alignment horizontal="center" vertical="center"/>
    </xf>
    <xf numFmtId="0" fontId="43" fillId="0" borderId="48" xfId="0" applyFont="1" applyBorder="1" applyAlignment="1">
      <alignment horizontal="center" vertical="center"/>
    </xf>
    <xf numFmtId="0" fontId="5" fillId="24" borderId="56"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12" fillId="0" borderId="0" xfId="0" applyFont="1" applyBorder="1" applyAlignment="1">
      <alignment horizontal="left" vertical="center" shrinkToFit="1"/>
    </xf>
    <xf numFmtId="0" fontId="12" fillId="0" borderId="35" xfId="0" applyFont="1" applyBorder="1" applyAlignment="1">
      <alignment horizontal="left" vertical="center" shrinkToFit="1"/>
    </xf>
    <xf numFmtId="0" fontId="0" fillId="0" borderId="13" xfId="0" applyBorder="1" applyAlignment="1">
      <alignment horizontal="center" vertical="center"/>
    </xf>
    <xf numFmtId="0" fontId="5" fillId="24" borderId="57" xfId="0" applyFont="1" applyFill="1" applyBorder="1" applyAlignment="1">
      <alignment horizontal="center" vertical="center" textRotation="90"/>
    </xf>
    <xf numFmtId="0" fontId="5" fillId="24" borderId="58" xfId="0" applyFont="1" applyFill="1" applyBorder="1" applyAlignment="1">
      <alignment horizontal="center" vertical="center" textRotation="90"/>
    </xf>
    <xf numFmtId="0" fontId="12" fillId="25" borderId="10" xfId="0" applyFont="1" applyFill="1" applyBorder="1" applyAlignment="1">
      <alignment horizontal="left"/>
    </xf>
    <xf numFmtId="0" fontId="12" fillId="23" borderId="17" xfId="0" applyFont="1" applyFill="1" applyBorder="1" applyAlignment="1">
      <alignment horizontal="left"/>
    </xf>
    <xf numFmtId="0" fontId="12" fillId="23" borderId="33" xfId="0" applyFont="1" applyFill="1" applyBorder="1" applyAlignment="1">
      <alignment horizontal="left"/>
    </xf>
    <xf numFmtId="0" fontId="42" fillId="8" borderId="27" xfId="0" applyFont="1" applyFill="1" applyBorder="1" applyAlignment="1">
      <alignment horizontal="center"/>
    </xf>
    <xf numFmtId="0" fontId="42" fillId="8" borderId="28" xfId="0" applyFont="1" applyFill="1" applyBorder="1" applyAlignment="1">
      <alignment horizontal="center"/>
    </xf>
    <xf numFmtId="0" fontId="5" fillId="28" borderId="58" xfId="0" applyFont="1" applyFill="1" applyBorder="1" applyAlignment="1">
      <alignment horizontal="center" vertical="center" textRotation="90"/>
    </xf>
    <xf numFmtId="0" fontId="5" fillId="28" borderId="57" xfId="0" applyFont="1" applyFill="1" applyBorder="1" applyAlignment="1">
      <alignment horizontal="center" vertical="center" textRotation="90"/>
    </xf>
    <xf numFmtId="0" fontId="5" fillId="28" borderId="59" xfId="0" applyFont="1" applyFill="1" applyBorder="1" applyAlignment="1">
      <alignment horizontal="center" vertical="center" textRotation="90"/>
    </xf>
    <xf numFmtId="0" fontId="62" fillId="10" borderId="13" xfId="0" applyFont="1" applyFill="1" applyBorder="1" applyAlignment="1" applyProtection="1">
      <alignment horizontal="center" vertical="center" wrapText="1"/>
      <protection/>
    </xf>
    <xf numFmtId="0" fontId="62" fillId="10" borderId="0" xfId="0" applyFont="1" applyFill="1" applyBorder="1" applyAlignment="1" applyProtection="1">
      <alignment horizontal="center" vertical="center" wrapText="1"/>
      <protection/>
    </xf>
    <xf numFmtId="0" fontId="12" fillId="6" borderId="10" xfId="0" applyFont="1" applyFill="1" applyBorder="1" applyAlignment="1">
      <alignment horizontal="left" vertical="center" wrapText="1"/>
    </xf>
    <xf numFmtId="0" fontId="12" fillId="23" borderId="10" xfId="0" applyFont="1" applyFill="1" applyBorder="1" applyAlignment="1">
      <alignment horizontal="left" vertical="center" wrapText="1"/>
    </xf>
    <xf numFmtId="0" fontId="64" fillId="0" borderId="17" xfId="0" applyFont="1" applyFill="1" applyBorder="1" applyAlignment="1" applyProtection="1">
      <alignment horizontal="left" vertical="center"/>
      <protection locked="0"/>
    </xf>
    <xf numFmtId="0" fontId="64" fillId="0" borderId="24" xfId="0" applyFont="1" applyFill="1" applyBorder="1" applyAlignment="1" applyProtection="1">
      <alignment horizontal="left" vertical="center"/>
      <protection locked="0"/>
    </xf>
    <xf numFmtId="0" fontId="64" fillId="0" borderId="33" xfId="0" applyFont="1" applyFill="1" applyBorder="1" applyAlignment="1" applyProtection="1">
      <alignment horizontal="left" vertical="center"/>
      <protection locked="0"/>
    </xf>
    <xf numFmtId="0" fontId="12" fillId="6" borderId="10" xfId="0" applyFont="1" applyFill="1" applyBorder="1" applyAlignment="1">
      <alignment horizontal="left"/>
    </xf>
    <xf numFmtId="0" fontId="12" fillId="23" borderId="10" xfId="0" applyFont="1" applyFill="1" applyBorder="1" applyAlignment="1">
      <alignment horizontal="left"/>
    </xf>
    <xf numFmtId="0" fontId="12" fillId="23" borderId="10" xfId="0" applyFont="1" applyFill="1" applyBorder="1" applyAlignment="1">
      <alignment horizontal="left" vertical="top"/>
    </xf>
    <xf numFmtId="0" fontId="12" fillId="4" borderId="51" xfId="0" applyFont="1" applyFill="1" applyBorder="1" applyAlignment="1">
      <alignment horizontal="center" vertical="center" textRotation="90" shrinkToFit="1"/>
    </xf>
    <xf numFmtId="0" fontId="12" fillId="4" borderId="52" xfId="0" applyFont="1" applyFill="1" applyBorder="1" applyAlignment="1">
      <alignment horizontal="center" vertical="center" textRotation="90" shrinkToFit="1"/>
    </xf>
    <xf numFmtId="0" fontId="12" fillId="4" borderId="32" xfId="0" applyFont="1" applyFill="1" applyBorder="1" applyAlignment="1">
      <alignment horizontal="center" vertical="center" textRotation="90" shrinkToFit="1"/>
    </xf>
    <xf numFmtId="0" fontId="39" fillId="27" borderId="0" xfId="0" applyFont="1" applyFill="1" applyBorder="1" applyAlignment="1" applyProtection="1">
      <alignment horizontal="center" wrapText="1"/>
      <protection/>
    </xf>
    <xf numFmtId="0" fontId="68" fillId="29" borderId="0" xfId="0" applyFont="1" applyFill="1" applyAlignment="1">
      <alignment horizontal="center"/>
    </xf>
    <xf numFmtId="0" fontId="55" fillId="0" borderId="0" xfId="0" applyFont="1" applyAlignment="1">
      <alignment horizontal="center"/>
    </xf>
    <xf numFmtId="0" fontId="58" fillId="0" borderId="0" xfId="0" applyFont="1" applyAlignment="1">
      <alignment horizontal="left" vertical="top" wrapText="1"/>
    </xf>
    <xf numFmtId="0" fontId="58" fillId="0" borderId="0" xfId="0" applyFont="1" applyAlignment="1" quotePrefix="1">
      <alignment horizontal="right" vertical="top"/>
    </xf>
    <xf numFmtId="0" fontId="58" fillId="0" borderId="0" xfId="0" applyFont="1" applyAlignment="1">
      <alignment horizontal="right" vertical="top"/>
    </xf>
    <xf numFmtId="0" fontId="58" fillId="0" borderId="0" xfId="0" applyFont="1" applyAlignment="1">
      <alignment horizontal="left" vertical="center" wrapText="1"/>
    </xf>
    <xf numFmtId="0" fontId="58" fillId="0" borderId="0" xfId="0" applyFont="1" applyAlignment="1">
      <alignment horizontal="left"/>
    </xf>
    <xf numFmtId="0" fontId="37" fillId="0" borderId="0" xfId="0" applyFont="1" applyAlignment="1">
      <alignment horizontal="left" wrapText="1"/>
    </xf>
    <xf numFmtId="0" fontId="60" fillId="0" borderId="0" xfId="0" applyFont="1" applyAlignment="1">
      <alignment horizontal="left"/>
    </xf>
    <xf numFmtId="0" fontId="0" fillId="0" borderId="0" xfId="0" applyAlignment="1">
      <alignment horizontal="center"/>
    </xf>
    <xf numFmtId="0" fontId="52" fillId="0" borderId="0" xfId="0" applyFont="1" applyAlignment="1">
      <alignment horizontal="center"/>
    </xf>
    <xf numFmtId="0" fontId="58" fillId="0" borderId="0" xfId="0" applyFont="1" applyAlignment="1">
      <alignment horizontal="left" wrapText="1"/>
    </xf>
    <xf numFmtId="0" fontId="65" fillId="0" borderId="0" xfId="0" applyFont="1" applyAlignment="1">
      <alignment horizontal="left"/>
    </xf>
    <xf numFmtId="0" fontId="71" fillId="30" borderId="0" xfId="0" applyFont="1" applyFill="1" applyAlignment="1">
      <alignment horizontal="center"/>
    </xf>
    <xf numFmtId="0" fontId="62" fillId="0" borderId="0" xfId="0" applyFont="1" applyFill="1" applyBorder="1" applyAlignment="1">
      <alignment horizontal="left"/>
    </xf>
    <xf numFmtId="0" fontId="37" fillId="0" borderId="17" xfId="0" applyNumberFormat="1" applyFont="1" applyBorder="1" applyAlignment="1" applyProtection="1">
      <alignment horizontal="left"/>
      <protection locked="0"/>
    </xf>
    <xf numFmtId="0" fontId="37" fillId="0" borderId="24" xfId="0" applyNumberFormat="1" applyFont="1" applyBorder="1" applyAlignment="1" applyProtection="1">
      <alignment horizontal="left"/>
      <protection locked="0"/>
    </xf>
    <xf numFmtId="0" fontId="37" fillId="0" borderId="33" xfId="0" applyNumberFormat="1" applyFont="1" applyBorder="1" applyAlignment="1" applyProtection="1">
      <alignment horizontal="left"/>
      <protection locked="0"/>
    </xf>
    <xf numFmtId="0" fontId="59" fillId="0" borderId="17" xfId="0" applyNumberFormat="1" applyFont="1" applyBorder="1" applyAlignment="1" applyProtection="1">
      <alignment horizontal="left"/>
      <protection locked="0"/>
    </xf>
    <xf numFmtId="0" fontId="59" fillId="0" borderId="24" xfId="0" applyNumberFormat="1" applyFont="1" applyBorder="1" applyAlignment="1" applyProtection="1">
      <alignment horizontal="left"/>
      <protection locked="0"/>
    </xf>
    <xf numFmtId="0" fontId="59" fillId="0" borderId="33" xfId="0" applyNumberFormat="1" applyFont="1" applyBorder="1" applyAlignment="1" applyProtection="1">
      <alignment horizontal="left"/>
      <protection locked="0"/>
    </xf>
    <xf numFmtId="173" fontId="37" fillId="0" borderId="17" xfId="0" applyNumberFormat="1" applyFont="1" applyBorder="1" applyAlignment="1" applyProtection="1">
      <alignment horizontal="left"/>
      <protection locked="0"/>
    </xf>
    <xf numFmtId="173" fontId="37" fillId="0" borderId="24" xfId="0" applyNumberFormat="1" applyFont="1" applyBorder="1" applyAlignment="1" applyProtection="1">
      <alignment horizontal="left"/>
      <protection locked="0"/>
    </xf>
    <xf numFmtId="173" fontId="37" fillId="0" borderId="33" xfId="0" applyNumberFormat="1" applyFont="1" applyBorder="1" applyAlignment="1" applyProtection="1">
      <alignment horizontal="left"/>
      <protection locked="0"/>
    </xf>
    <xf numFmtId="0" fontId="37" fillId="0" borderId="17" xfId="0" applyFont="1" applyBorder="1" applyAlignment="1" applyProtection="1">
      <alignment horizontal="left"/>
      <protection locked="0"/>
    </xf>
    <xf numFmtId="0" fontId="37" fillId="0" borderId="24" xfId="0" applyFont="1" applyBorder="1" applyAlignment="1" applyProtection="1">
      <alignment horizontal="left"/>
      <protection locked="0"/>
    </xf>
    <xf numFmtId="0" fontId="37" fillId="0" borderId="33" xfId="0" applyFont="1" applyBorder="1" applyAlignment="1" applyProtection="1">
      <alignment horizontal="left"/>
      <protection locked="0"/>
    </xf>
    <xf numFmtId="0" fontId="13" fillId="0" borderId="24" xfId="0" applyFont="1" applyBorder="1" applyAlignment="1">
      <alignment horizontal="center" vertical="center"/>
    </xf>
    <xf numFmtId="0" fontId="0" fillId="0" borderId="35" xfId="0" applyBorder="1" applyAlignment="1">
      <alignment horizontal="center" vertical="center"/>
    </xf>
    <xf numFmtId="0" fontId="13"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35" xfId="0" applyFont="1" applyBorder="1" applyAlignment="1">
      <alignment horizontal="center" vertical="center"/>
    </xf>
    <xf numFmtId="0" fontId="13" fillId="0" borderId="55" xfId="0" applyFont="1" applyBorder="1" applyAlignment="1">
      <alignment horizontal="center" vertical="center"/>
    </xf>
    <xf numFmtId="0" fontId="0" fillId="0" borderId="24" xfId="0" applyBorder="1" applyAlignment="1">
      <alignment horizontal="right" vertical="center"/>
    </xf>
    <xf numFmtId="0" fontId="13" fillId="0" borderId="37" xfId="0" applyFont="1" applyBorder="1" applyAlignment="1">
      <alignment horizontal="center" vertical="center"/>
    </xf>
    <xf numFmtId="0" fontId="12" fillId="0" borderId="35" xfId="0" applyFont="1" applyBorder="1" applyAlignment="1">
      <alignment horizontal="left" vertical="center"/>
    </xf>
    <xf numFmtId="0" fontId="4" fillId="0" borderId="34" xfId="0" applyFont="1" applyBorder="1" applyAlignment="1">
      <alignment horizontal="center" vertical="center"/>
    </xf>
    <xf numFmtId="0" fontId="0" fillId="0" borderId="36" xfId="0" applyBorder="1" applyAlignment="1">
      <alignment horizontal="left" vertical="center"/>
    </xf>
    <xf numFmtId="0" fontId="0" fillId="0" borderId="0" xfId="0" applyBorder="1" applyAlignment="1">
      <alignment horizontal="left" vertical="center"/>
    </xf>
    <xf numFmtId="0" fontId="0" fillId="0" borderId="36" xfId="0" applyBorder="1" applyAlignment="1">
      <alignment horizontal="center" vertical="center"/>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51" xfId="0" applyFont="1" applyBorder="1" applyAlignment="1">
      <alignment horizontal="center" vertical="center"/>
    </xf>
    <xf numFmtId="0" fontId="13" fillId="0" borderId="32" xfId="0" applyFont="1" applyBorder="1" applyAlignment="1">
      <alignment horizontal="center" vertical="center"/>
    </xf>
    <xf numFmtId="0" fontId="12" fillId="0" borderId="17" xfId="0" applyFont="1" applyBorder="1" applyAlignment="1">
      <alignment horizontal="center" vertical="center"/>
    </xf>
    <xf numFmtId="0" fontId="12" fillId="0" borderId="24" xfId="0" applyFont="1" applyBorder="1" applyAlignment="1">
      <alignment horizontal="center" vertical="center"/>
    </xf>
    <xf numFmtId="0" fontId="12" fillId="0" borderId="33" xfId="0" applyFont="1" applyBorder="1" applyAlignment="1">
      <alignment horizontal="center" vertical="center"/>
    </xf>
    <xf numFmtId="0" fontId="43" fillId="0" borderId="49" xfId="0" applyFont="1" applyBorder="1" applyAlignment="1">
      <alignment horizontal="center" vertical="center"/>
    </xf>
    <xf numFmtId="0" fontId="43" fillId="0" borderId="50"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Border="1" applyAlignment="1">
      <alignment horizontal="center" vertical="center"/>
    </xf>
    <xf numFmtId="0" fontId="13" fillId="0" borderId="35" xfId="0" applyFont="1" applyBorder="1" applyAlignment="1">
      <alignment horizontal="center" vertical="center"/>
    </xf>
    <xf numFmtId="0" fontId="13" fillId="0" borderId="0" xfId="0" applyNumberFormat="1" applyFont="1" applyBorder="1" applyAlignment="1">
      <alignment horizontal="center" vertical="center"/>
    </xf>
    <xf numFmtId="0" fontId="0" fillId="0" borderId="0" xfId="0" applyAlignment="1">
      <alignment horizontal="center" vertical="center"/>
    </xf>
    <xf numFmtId="0" fontId="12" fillId="0" borderId="36" xfId="0" applyFont="1" applyBorder="1" applyAlignment="1">
      <alignment horizontal="center" vertical="center"/>
    </xf>
    <xf numFmtId="0" fontId="0" fillId="0" borderId="33" xfId="0" applyBorder="1" applyAlignment="1">
      <alignment horizontal="center" vertical="center"/>
    </xf>
    <xf numFmtId="0" fontId="13" fillId="0" borderId="17" xfId="0" applyFont="1" applyBorder="1" applyAlignment="1">
      <alignment horizontal="center" vertical="center"/>
    </xf>
    <xf numFmtId="0" fontId="13" fillId="0" borderId="33" xfId="0" applyFont="1" applyBorder="1" applyAlignment="1">
      <alignment horizontal="center" vertical="center"/>
    </xf>
    <xf numFmtId="0" fontId="12" fillId="0" borderId="36" xfId="0" applyFont="1" applyBorder="1" applyAlignment="1">
      <alignment horizontal="left" vertical="center" shrinkToFit="1"/>
    </xf>
    <xf numFmtId="0" fontId="13" fillId="0" borderId="6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9" xfId="0" applyFont="1" applyBorder="1" applyAlignment="1">
      <alignment horizontal="center" vertical="center" wrapText="1"/>
    </xf>
    <xf numFmtId="0" fontId="48" fillId="0" borderId="49" xfId="0" applyFont="1" applyBorder="1" applyAlignment="1">
      <alignment horizontal="center" vertical="center"/>
    </xf>
    <xf numFmtId="0" fontId="48" fillId="0" borderId="50" xfId="0" applyFont="1" applyBorder="1" applyAlignment="1">
      <alignment horizontal="center" vertical="center"/>
    </xf>
    <xf numFmtId="0" fontId="12" fillId="0" borderId="0" xfId="0" applyFont="1" applyBorder="1" applyAlignment="1">
      <alignment horizontal="left" vertical="center" wrapText="1"/>
    </xf>
    <xf numFmtId="0" fontId="9" fillId="0" borderId="54"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0" fillId="0" borderId="17" xfId="0" applyBorder="1" applyAlignment="1">
      <alignment horizontal="left" vertical="center" wrapText="1"/>
    </xf>
    <xf numFmtId="0" fontId="0" fillId="0" borderId="24" xfId="0" applyBorder="1" applyAlignment="1">
      <alignment horizontal="left" vertical="center" wrapText="1"/>
    </xf>
    <xf numFmtId="0" fontId="12" fillId="0" borderId="60"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9" xfId="0" applyFont="1" applyBorder="1" applyAlignment="1">
      <alignment horizontal="center" vertical="center" shrinkToFi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4" xfId="0" applyFont="1" applyBorder="1" applyAlignment="1">
      <alignment horizontal="left" vertical="center"/>
    </xf>
    <xf numFmtId="0" fontId="13" fillId="0" borderId="55" xfId="0" applyFont="1" applyBorder="1" applyAlignment="1">
      <alignment horizontal="left" vertical="center"/>
    </xf>
    <xf numFmtId="166" fontId="12" fillId="0" borderId="24" xfId="0" applyNumberFormat="1" applyFont="1" applyBorder="1" applyAlignment="1">
      <alignment horizontal="center" vertical="center"/>
    </xf>
    <xf numFmtId="0" fontId="12" fillId="0" borderId="60" xfId="0" applyFont="1" applyBorder="1" applyAlignment="1">
      <alignment horizontal="left" vertical="center" wrapText="1"/>
    </xf>
    <xf numFmtId="0" fontId="12" fillId="0" borderId="34" xfId="0" applyFont="1" applyBorder="1" applyAlignment="1">
      <alignment horizontal="left" vertical="center" wrapText="1"/>
    </xf>
    <xf numFmtId="0" fontId="12" fillId="0" borderId="39" xfId="0" applyFont="1" applyBorder="1" applyAlignment="1">
      <alignment horizontal="left" vertical="center" wrapText="1"/>
    </xf>
    <xf numFmtId="0" fontId="0" fillId="0" borderId="24" xfId="0" applyBorder="1" applyAlignment="1" quotePrefix="1">
      <alignment horizontal="left" vertical="center"/>
    </xf>
    <xf numFmtId="0" fontId="0" fillId="0" borderId="24" xfId="0" applyFont="1" applyBorder="1" applyAlignment="1">
      <alignment horizontal="left" vertical="center"/>
    </xf>
    <xf numFmtId="0" fontId="3" fillId="0" borderId="0" xfId="0" applyFont="1" applyBorder="1" applyAlignment="1">
      <alignment horizontal="center" vertical="center" shrinkToFit="1"/>
    </xf>
    <xf numFmtId="0" fontId="0" fillId="0" borderId="35" xfId="0" applyBorder="1" applyAlignment="1">
      <alignment horizontal="left" vertical="center"/>
    </xf>
    <xf numFmtId="0" fontId="2" fillId="0" borderId="17" xfId="0" applyFont="1" applyBorder="1" applyAlignment="1">
      <alignment horizontal="left"/>
    </xf>
    <xf numFmtId="0" fontId="2" fillId="0" borderId="24" xfId="0" applyFont="1" applyBorder="1" applyAlignment="1">
      <alignment horizontal="left"/>
    </xf>
    <xf numFmtId="0" fontId="2" fillId="0" borderId="33" xfId="0" applyFont="1" applyBorder="1" applyAlignment="1">
      <alignment horizontal="left"/>
    </xf>
    <xf numFmtId="0" fontId="3" fillId="0" borderId="17" xfId="0" applyFont="1" applyBorder="1" applyAlignment="1">
      <alignment horizontal="center" vertical="top"/>
    </xf>
    <xf numFmtId="0" fontId="3" fillId="0" borderId="24" xfId="0" applyFont="1" applyBorder="1" applyAlignment="1">
      <alignment horizontal="center" vertical="top"/>
    </xf>
    <xf numFmtId="0" fontId="3" fillId="0" borderId="33" xfId="0" applyFont="1" applyBorder="1" applyAlignment="1">
      <alignment horizontal="center" vertical="top"/>
    </xf>
    <xf numFmtId="0" fontId="0" fillId="0" borderId="0" xfId="0" applyFont="1" applyAlignment="1">
      <alignment horizontal="left" wrapText="1"/>
    </xf>
    <xf numFmtId="0" fontId="0" fillId="0" borderId="0" xfId="0" applyAlignment="1">
      <alignment horizontal="left" wrapText="1"/>
    </xf>
    <xf numFmtId="0" fontId="2" fillId="0" borderId="51" xfId="0" applyFont="1" applyBorder="1" applyAlignment="1">
      <alignment horizontal="center"/>
    </xf>
    <xf numFmtId="0" fontId="2" fillId="0" borderId="52" xfId="0" applyFont="1" applyBorder="1" applyAlignment="1">
      <alignment horizontal="center"/>
    </xf>
    <xf numFmtId="0" fontId="2" fillId="0" borderId="32" xfId="0" applyFont="1" applyBorder="1" applyAlignment="1">
      <alignment horizontal="center"/>
    </xf>
    <xf numFmtId="0" fontId="3" fillId="0" borderId="17" xfId="0" applyFont="1" applyBorder="1" applyAlignment="1">
      <alignment horizontal="left"/>
    </xf>
    <xf numFmtId="0" fontId="3" fillId="0" borderId="24" xfId="0" applyFont="1" applyBorder="1" applyAlignment="1">
      <alignment horizontal="left"/>
    </xf>
    <xf numFmtId="0" fontId="3" fillId="0" borderId="33" xfId="0" applyFont="1" applyBorder="1" applyAlignment="1">
      <alignment horizontal="left"/>
    </xf>
    <xf numFmtId="166" fontId="3" fillId="0" borderId="17" xfId="0" applyNumberFormat="1" applyFont="1" applyBorder="1" applyAlignment="1">
      <alignment horizontal="left"/>
    </xf>
    <xf numFmtId="166" fontId="3" fillId="0" borderId="24" xfId="0" applyNumberFormat="1" applyFont="1" applyBorder="1" applyAlignment="1">
      <alignment horizontal="left"/>
    </xf>
    <xf numFmtId="166" fontId="3" fillId="0" borderId="33" xfId="0" applyNumberFormat="1" applyFont="1" applyBorder="1" applyAlignment="1">
      <alignment horizontal="left"/>
    </xf>
    <xf numFmtId="0" fontId="2" fillId="0" borderId="17" xfId="0" applyFont="1" applyBorder="1" applyAlignment="1">
      <alignment horizontal="left" vertical="top" wrapText="1"/>
    </xf>
    <xf numFmtId="0" fontId="2" fillId="0" borderId="24" xfId="0" applyFont="1" applyBorder="1" applyAlignment="1">
      <alignment horizontal="left" vertical="top" wrapText="1"/>
    </xf>
    <xf numFmtId="0" fontId="2" fillId="0" borderId="33" xfId="0" applyFont="1" applyBorder="1" applyAlignment="1">
      <alignment horizontal="left" vertical="top" wrapText="1"/>
    </xf>
    <xf numFmtId="0" fontId="2" fillId="0" borderId="17" xfId="0" applyFont="1" applyBorder="1" applyAlignment="1">
      <alignment horizontal="center" vertical="top" wrapText="1"/>
    </xf>
    <xf numFmtId="0" fontId="2" fillId="0" borderId="24" xfId="0" applyFont="1" applyBorder="1" applyAlignment="1">
      <alignment horizontal="center" vertical="top" wrapText="1"/>
    </xf>
    <xf numFmtId="0" fontId="2" fillId="0" borderId="33" xfId="0" applyFont="1" applyBorder="1" applyAlignment="1">
      <alignment horizontal="center" vertical="top" wrapText="1"/>
    </xf>
    <xf numFmtId="166" fontId="2" fillId="0" borderId="0" xfId="0" applyNumberFormat="1" applyFont="1" applyBorder="1" applyAlignment="1">
      <alignment horizontal="left" wrapText="1"/>
    </xf>
    <xf numFmtId="166" fontId="2" fillId="0" borderId="34" xfId="0" applyNumberFormat="1" applyFont="1" applyBorder="1" applyAlignment="1">
      <alignment horizontal="center"/>
    </xf>
    <xf numFmtId="0" fontId="0" fillId="0" borderId="0" xfId="0" applyAlignment="1">
      <alignment horizontal="left" shrinkToFit="1"/>
    </xf>
    <xf numFmtId="0" fontId="2" fillId="0" borderId="1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right"/>
    </xf>
    <xf numFmtId="0" fontId="2" fillId="0" borderId="34" xfId="0" applyFont="1" applyBorder="1" applyAlignment="1">
      <alignment horizontal="center" vertical="top"/>
    </xf>
    <xf numFmtId="0" fontId="12" fillId="0" borderId="17" xfId="0" applyFont="1" applyBorder="1" applyAlignment="1">
      <alignment horizontal="center"/>
    </xf>
    <xf numFmtId="0" fontId="12" fillId="0" borderId="24" xfId="0" applyFont="1" applyBorder="1" applyAlignment="1">
      <alignment horizontal="center"/>
    </xf>
    <xf numFmtId="0" fontId="12" fillId="0" borderId="33" xfId="0" applyFont="1" applyBorder="1" applyAlignment="1">
      <alignment horizontal="center"/>
    </xf>
    <xf numFmtId="166" fontId="3" fillId="0" borderId="17" xfId="0" applyNumberFormat="1" applyFont="1" applyBorder="1" applyAlignment="1">
      <alignment horizontal="center"/>
    </xf>
    <xf numFmtId="166" fontId="3" fillId="0" borderId="24" xfId="0" applyNumberFormat="1" applyFont="1" applyBorder="1" applyAlignment="1">
      <alignment horizontal="center"/>
    </xf>
    <xf numFmtId="166" fontId="3" fillId="0" borderId="33" xfId="0" applyNumberFormat="1" applyFont="1" applyBorder="1" applyAlignment="1">
      <alignment horizontal="center"/>
    </xf>
    <xf numFmtId="0" fontId="3" fillId="0" borderId="17" xfId="0" applyFont="1" applyBorder="1" applyAlignment="1">
      <alignment horizontal="center" vertical="top" wrapText="1"/>
    </xf>
    <xf numFmtId="0" fontId="3" fillId="0" borderId="24" xfId="0" applyFont="1" applyBorder="1" applyAlignment="1">
      <alignment horizontal="center" vertical="top" wrapText="1"/>
    </xf>
    <xf numFmtId="0" fontId="3" fillId="0" borderId="33" xfId="0" applyFont="1" applyBorder="1" applyAlignment="1">
      <alignment horizontal="center" vertical="top" wrapText="1"/>
    </xf>
    <xf numFmtId="166" fontId="3" fillId="0" borderId="17" xfId="0" applyNumberFormat="1" applyFont="1" applyBorder="1" applyAlignment="1">
      <alignment horizontal="center" vertical="top" wrapText="1"/>
    </xf>
    <xf numFmtId="166" fontId="3" fillId="0" borderId="24" xfId="0" applyNumberFormat="1" applyFont="1" applyBorder="1" applyAlignment="1">
      <alignment horizontal="center" vertical="top" wrapText="1"/>
    </xf>
    <xf numFmtId="166" fontId="3" fillId="0" borderId="33" xfId="0" applyNumberFormat="1" applyFont="1" applyBorder="1" applyAlignment="1">
      <alignment horizontal="center" vertical="top" wrapText="1"/>
    </xf>
    <xf numFmtId="166" fontId="3" fillId="0" borderId="17" xfId="0" applyNumberFormat="1" applyFont="1" applyBorder="1" applyAlignment="1">
      <alignment horizontal="center" vertical="center" wrapText="1"/>
    </xf>
    <xf numFmtId="166" fontId="3" fillId="0" borderId="33" xfId="0" applyNumberFormat="1" applyFont="1" applyBorder="1" applyAlignment="1">
      <alignment horizontal="center" vertical="center" wrapText="1"/>
    </xf>
    <xf numFmtId="0" fontId="50" fillId="0" borderId="0" xfId="0" applyFont="1" applyAlignment="1">
      <alignment horizontal="center" shrinkToFit="1"/>
    </xf>
    <xf numFmtId="0" fontId="13" fillId="0" borderId="0" xfId="0" applyFont="1" applyAlignment="1">
      <alignment horizontal="center"/>
    </xf>
    <xf numFmtId="0" fontId="3" fillId="0" borderId="17" xfId="0" applyFont="1" applyBorder="1" applyAlignment="1">
      <alignment horizontal="left" vertical="top" wrapText="1"/>
    </xf>
    <xf numFmtId="0" fontId="3" fillId="0" borderId="24" xfId="0" applyFont="1" applyBorder="1" applyAlignment="1">
      <alignment horizontal="left" vertical="top" wrapText="1"/>
    </xf>
    <xf numFmtId="0" fontId="3" fillId="0" borderId="33" xfId="0" applyFont="1" applyBorder="1" applyAlignment="1">
      <alignment horizontal="left" vertical="top" wrapText="1"/>
    </xf>
    <xf numFmtId="0" fontId="18" fillId="0" borderId="0" xfId="0" applyFont="1" applyAlignment="1">
      <alignment horizontal="left" wrapText="1"/>
    </xf>
    <xf numFmtId="0" fontId="18" fillId="0" borderId="15" xfId="0" applyFont="1" applyBorder="1" applyAlignment="1">
      <alignment horizontal="left" shrinkToFit="1"/>
    </xf>
    <xf numFmtId="0" fontId="0" fillId="0" borderId="59" xfId="0" applyBorder="1" applyAlignment="1">
      <alignment horizontal="center" vertical="center"/>
    </xf>
    <xf numFmtId="0" fontId="0" fillId="0" borderId="34" xfId="0" applyBorder="1" applyAlignment="1">
      <alignment horizontal="center" vertical="center"/>
    </xf>
    <xf numFmtId="0" fontId="0" fillId="0" borderId="61" xfId="0" applyBorder="1" applyAlignment="1">
      <alignment horizontal="center" vertical="center"/>
    </xf>
    <xf numFmtId="0" fontId="0" fillId="0" borderId="12" xfId="0" applyBorder="1" applyAlignment="1">
      <alignment horizontal="center" vertical="center"/>
    </xf>
    <xf numFmtId="0" fontId="0" fillId="0" borderId="0" xfId="0" applyBorder="1" applyAlignment="1" quotePrefix="1">
      <alignment horizontal="center" vertical="center"/>
    </xf>
    <xf numFmtId="0" fontId="0" fillId="0" borderId="11" xfId="0" applyBorder="1" applyAlignment="1" quotePrefix="1">
      <alignment horizontal="center" vertical="center"/>
    </xf>
    <xf numFmtId="2" fontId="3" fillId="0" borderId="11" xfId="0" applyNumberFormat="1" applyFont="1" applyBorder="1" applyAlignment="1">
      <alignment horizontal="center" textRotation="90"/>
    </xf>
    <xf numFmtId="0" fontId="3" fillId="0" borderId="11" xfId="0" applyFont="1" applyBorder="1" applyAlignment="1">
      <alignment horizontal="center" textRotation="90"/>
    </xf>
    <xf numFmtId="2" fontId="29" fillId="0" borderId="62" xfId="0" applyNumberFormat="1" applyFont="1" applyBorder="1" applyAlignment="1">
      <alignment horizontal="right" vertical="center"/>
    </xf>
    <xf numFmtId="2" fontId="29" fillId="0" borderId="63" xfId="0" applyNumberFormat="1" applyFont="1" applyBorder="1" applyAlignment="1">
      <alignment horizontal="right" vertical="center"/>
    </xf>
    <xf numFmtId="2" fontId="29" fillId="0" borderId="0" xfId="0" applyNumberFormat="1" applyFont="1" applyBorder="1" applyAlignment="1">
      <alignment horizontal="right" vertical="center"/>
    </xf>
    <xf numFmtId="2" fontId="29" fillId="0" borderId="21" xfId="0" applyNumberFormat="1" applyFont="1" applyBorder="1" applyAlignment="1">
      <alignment horizontal="right" vertical="center"/>
    </xf>
    <xf numFmtId="0" fontId="12" fillId="0" borderId="1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1" xfId="0" applyFont="1" applyBorder="1" applyAlignment="1">
      <alignment horizontal="center" textRotation="90"/>
    </xf>
    <xf numFmtId="0" fontId="29" fillId="0" borderId="62" xfId="0" applyFont="1" applyBorder="1" applyAlignment="1">
      <alignment horizontal="center" vertical="center"/>
    </xf>
    <xf numFmtId="0" fontId="29" fillId="0" borderId="63"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2" fontId="29" fillId="0" borderId="24" xfId="0" applyNumberFormat="1" applyFont="1" applyBorder="1" applyAlignment="1">
      <alignment horizontal="right" vertical="center"/>
    </xf>
    <xf numFmtId="2" fontId="29" fillId="0" borderId="64" xfId="0" applyNumberFormat="1" applyFont="1" applyBorder="1" applyAlignment="1">
      <alignment horizontal="right" vertical="center"/>
    </xf>
    <xf numFmtId="0" fontId="29" fillId="0" borderId="21" xfId="0" applyFont="1" applyBorder="1" applyAlignment="1">
      <alignment horizontal="center" vertical="center"/>
    </xf>
    <xf numFmtId="0" fontId="29" fillId="0" borderId="65" xfId="0" applyFont="1" applyBorder="1" applyAlignment="1">
      <alignment horizontal="center" vertical="center"/>
    </xf>
    <xf numFmtId="0" fontId="29" fillId="0" borderId="66" xfId="0" applyFont="1" applyBorder="1" applyAlignment="1">
      <alignment horizontal="center" vertical="center"/>
    </xf>
    <xf numFmtId="2" fontId="29" fillId="0" borderId="65" xfId="0" applyNumberFormat="1" applyFont="1" applyBorder="1" applyAlignment="1">
      <alignment horizontal="right" vertical="center"/>
    </xf>
    <xf numFmtId="2" fontId="29" fillId="0" borderId="66" xfId="0" applyNumberFormat="1" applyFont="1" applyBorder="1" applyAlignment="1">
      <alignment horizontal="right" vertical="center"/>
    </xf>
    <xf numFmtId="2" fontId="29" fillId="0" borderId="25" xfId="0" applyNumberFormat="1" applyFont="1" applyBorder="1" applyAlignment="1">
      <alignment horizontal="right" vertical="center"/>
    </xf>
    <xf numFmtId="2" fontId="29" fillId="0" borderId="26" xfId="0" applyNumberFormat="1" applyFont="1" applyBorder="1" applyAlignment="1">
      <alignment horizontal="right" vertical="center"/>
    </xf>
    <xf numFmtId="0" fontId="29" fillId="0" borderId="67" xfId="0" applyFont="1" applyBorder="1" applyAlignment="1">
      <alignment horizontal="center" vertical="center"/>
    </xf>
    <xf numFmtId="2" fontId="29" fillId="0" borderId="11" xfId="0" applyNumberFormat="1" applyFont="1" applyBorder="1" applyAlignment="1">
      <alignment horizontal="right"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0" fillId="0" borderId="0" xfId="0" applyBorder="1" applyAlignment="1">
      <alignment horizontal="right" vertical="center"/>
    </xf>
    <xf numFmtId="0" fontId="12" fillId="0" borderId="11" xfId="0" applyFont="1" applyBorder="1" applyAlignment="1">
      <alignment horizontal="center" vertical="center"/>
    </xf>
    <xf numFmtId="0" fontId="0" fillId="0" borderId="0" xfId="0" applyFont="1" applyBorder="1" applyAlignment="1">
      <alignment horizontal="center" vertical="center" shrinkToFit="1"/>
    </xf>
    <xf numFmtId="0" fontId="12"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0" fillId="0" borderId="64" xfId="0" applyBorder="1" applyAlignment="1">
      <alignment horizontal="center" vertical="center"/>
    </xf>
    <xf numFmtId="0" fontId="12"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3" fillId="0" borderId="19" xfId="0" applyFont="1" applyBorder="1" applyAlignment="1">
      <alignment horizontal="center" vertical="center" wrapText="1"/>
    </xf>
    <xf numFmtId="0" fontId="4" fillId="0" borderId="54" xfId="0" applyFont="1" applyBorder="1" applyAlignment="1">
      <alignment horizontal="right" vertical="center" wrapText="1"/>
    </xf>
    <xf numFmtId="0" fontId="4" fillId="0" borderId="34" xfId="0" applyFont="1" applyBorder="1" applyAlignment="1">
      <alignment horizontal="right" vertical="center" wrapText="1"/>
    </xf>
    <xf numFmtId="0" fontId="4" fillId="0" borderId="61" xfId="0" applyFont="1" applyBorder="1" applyAlignment="1">
      <alignment horizontal="right" vertical="center" wrapTex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166" fontId="5" fillId="0" borderId="0" xfId="0" applyNumberFormat="1" applyFont="1" applyBorder="1" applyAlignment="1">
      <alignment horizontal="center" vertical="center" shrinkToFit="1"/>
    </xf>
    <xf numFmtId="0" fontId="5" fillId="0" borderId="0" xfId="0" applyFont="1" applyBorder="1" applyAlignment="1">
      <alignment horizontal="center" vertical="center" shrinkToFit="1"/>
    </xf>
    <xf numFmtId="166" fontId="0" fillId="0" borderId="24" xfId="0" applyNumberFormat="1" applyFont="1" applyBorder="1" applyAlignment="1">
      <alignment horizontal="center" vertical="center" shrinkToFit="1"/>
    </xf>
    <xf numFmtId="166" fontId="0" fillId="0" borderId="33" xfId="0" applyNumberFormat="1" applyFont="1" applyBorder="1" applyAlignment="1">
      <alignment horizontal="center" vertical="center" shrinkToFit="1"/>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17" xfId="0" applyFont="1" applyBorder="1" applyAlignment="1">
      <alignment horizontal="right" vertical="center" shrinkToFit="1"/>
    </xf>
    <xf numFmtId="0" fontId="0" fillId="0" borderId="33" xfId="0" applyFont="1" applyBorder="1" applyAlignment="1">
      <alignment horizontal="right" vertical="center" shrinkToFit="1"/>
    </xf>
    <xf numFmtId="0" fontId="12" fillId="0" borderId="17"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166" fontId="12" fillId="0" borderId="24" xfId="0" applyNumberFormat="1" applyFont="1" applyBorder="1" applyAlignment="1">
      <alignment horizontal="center" vertical="center" wrapText="1"/>
    </xf>
    <xf numFmtId="166" fontId="12" fillId="0" borderId="33" xfId="0" applyNumberFormat="1" applyFont="1" applyBorder="1" applyAlignment="1">
      <alignment horizontal="center" vertical="center" wrapText="1"/>
    </xf>
    <xf numFmtId="0" fontId="12" fillId="0" borderId="17" xfId="0" applyFont="1" applyBorder="1" applyAlignment="1">
      <alignment horizontal="right" vertical="center" wrapText="1"/>
    </xf>
    <xf numFmtId="0" fontId="12" fillId="0" borderId="33" xfId="0" applyFont="1" applyBorder="1" applyAlignment="1">
      <alignment horizontal="right" vertical="center" wrapText="1"/>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0" fillId="0" borderId="17" xfId="0" applyFont="1" applyBorder="1" applyAlignment="1">
      <alignment horizontal="right" shrinkToFit="1"/>
    </xf>
    <xf numFmtId="0" fontId="0" fillId="0" borderId="33" xfId="0" applyFont="1" applyBorder="1" applyAlignment="1">
      <alignment horizontal="right" shrinkToFit="1"/>
    </xf>
    <xf numFmtId="0" fontId="12" fillId="0" borderId="34" xfId="0" applyFont="1" applyBorder="1" applyAlignment="1">
      <alignment horizontal="center"/>
    </xf>
    <xf numFmtId="0" fontId="16" fillId="0" borderId="17" xfId="0" applyFont="1" applyBorder="1" applyAlignment="1">
      <alignment horizontal="center" wrapText="1"/>
    </xf>
    <xf numFmtId="0" fontId="16" fillId="0" borderId="24" xfId="0" applyFont="1" applyBorder="1" applyAlignment="1">
      <alignment horizontal="center" wrapText="1"/>
    </xf>
    <xf numFmtId="0" fontId="4" fillId="0" borderId="17" xfId="0" applyFont="1" applyBorder="1" applyAlignment="1">
      <alignment horizontal="center"/>
    </xf>
    <xf numFmtId="0" fontId="4" fillId="0" borderId="24" xfId="0" applyFont="1" applyBorder="1" applyAlignment="1">
      <alignment horizontal="center"/>
    </xf>
    <xf numFmtId="0" fontId="4" fillId="0" borderId="33" xfId="0" applyFont="1" applyBorder="1" applyAlignment="1">
      <alignment horizontal="center"/>
    </xf>
    <xf numFmtId="0" fontId="13" fillId="0" borderId="15" xfId="0" applyFont="1" applyBorder="1" applyAlignment="1">
      <alignment horizontal="center"/>
    </xf>
    <xf numFmtId="0" fontId="12" fillId="0" borderId="0" xfId="0" applyFont="1" applyAlignment="1">
      <alignment horizontal="center"/>
    </xf>
    <xf numFmtId="0" fontId="28" fillId="0" borderId="17" xfId="0" applyFont="1" applyBorder="1" applyAlignment="1">
      <alignment horizontal="center"/>
    </xf>
    <xf numFmtId="0" fontId="28" fillId="0" borderId="24" xfId="0" applyFont="1" applyBorder="1" applyAlignment="1">
      <alignment horizontal="center"/>
    </xf>
    <xf numFmtId="0" fontId="28" fillId="0" borderId="33" xfId="0" applyFont="1" applyBorder="1" applyAlignment="1">
      <alignment horizontal="center"/>
    </xf>
    <xf numFmtId="166" fontId="16" fillId="0" borderId="24" xfId="0" applyNumberFormat="1" applyFont="1" applyBorder="1" applyAlignment="1">
      <alignment horizontal="center" wrapText="1"/>
    </xf>
    <xf numFmtId="166" fontId="16" fillId="0" borderId="33" xfId="0" applyNumberFormat="1" applyFont="1" applyBorder="1" applyAlignment="1">
      <alignment horizontal="center" wrapText="1"/>
    </xf>
    <xf numFmtId="0" fontId="16" fillId="0" borderId="17" xfId="0" applyFont="1" applyBorder="1" applyAlignment="1">
      <alignment horizontal="right" wrapText="1"/>
    </xf>
    <xf numFmtId="0" fontId="16" fillId="0" borderId="33" xfId="0" applyFont="1" applyBorder="1" applyAlignment="1">
      <alignment horizontal="right" wrapText="1"/>
    </xf>
    <xf numFmtId="0" fontId="12" fillId="0" borderId="17" xfId="0" applyFont="1" applyBorder="1" applyAlignment="1">
      <alignment horizontal="center" shrinkToFit="1"/>
    </xf>
    <xf numFmtId="0" fontId="12" fillId="0" borderId="24" xfId="0" applyFont="1" applyBorder="1" applyAlignment="1">
      <alignment horizontal="center" shrinkToFit="1"/>
    </xf>
    <xf numFmtId="166" fontId="0" fillId="0" borderId="24" xfId="0" applyNumberFormat="1" applyFont="1" applyBorder="1" applyAlignment="1">
      <alignment horizontal="center" shrinkToFit="1"/>
    </xf>
    <xf numFmtId="166" fontId="0" fillId="0" borderId="33" xfId="0" applyNumberFormat="1" applyFont="1" applyBorder="1" applyAlignment="1">
      <alignment horizontal="center" shrinkToFit="1"/>
    </xf>
    <xf numFmtId="166" fontId="3" fillId="0" borderId="0" xfId="0" applyNumberFormat="1" applyFont="1" applyBorder="1" applyAlignment="1">
      <alignment horizontal="left" vertical="center" wrapText="1"/>
    </xf>
    <xf numFmtId="0" fontId="8" fillId="0" borderId="17" xfId="0" applyFont="1" applyBorder="1" applyAlignment="1">
      <alignment horizontal="center"/>
    </xf>
    <xf numFmtId="0" fontId="8" fillId="0" borderId="24" xfId="0" applyFont="1" applyBorder="1" applyAlignment="1">
      <alignment horizontal="center"/>
    </xf>
    <xf numFmtId="0" fontId="8" fillId="0" borderId="33" xfId="0" applyFont="1" applyBorder="1" applyAlignment="1">
      <alignment horizontal="center"/>
    </xf>
    <xf numFmtId="0" fontId="3" fillId="0" borderId="24" xfId="0" applyFont="1" applyBorder="1" applyAlignment="1">
      <alignment horizontal="center" shrinkToFit="1"/>
    </xf>
    <xf numFmtId="166" fontId="3" fillId="0" borderId="24" xfId="0" applyNumberFormat="1" applyFont="1" applyBorder="1" applyAlignment="1">
      <alignment horizontal="center" shrinkToFit="1"/>
    </xf>
    <xf numFmtId="166" fontId="12" fillId="0" borderId="24" xfId="0" applyNumberFormat="1" applyFont="1" applyBorder="1" applyAlignment="1">
      <alignment horizontal="center" shrinkToFit="1"/>
    </xf>
    <xf numFmtId="166" fontId="12" fillId="0" borderId="33" xfId="0" applyNumberFormat="1" applyFont="1" applyBorder="1" applyAlignment="1">
      <alignment horizontal="center" shrinkToFit="1"/>
    </xf>
    <xf numFmtId="0" fontId="5" fillId="0" borderId="15" xfId="0" applyFont="1" applyBorder="1" applyAlignment="1">
      <alignment horizontal="right" vertical="center" shrinkToFit="1"/>
    </xf>
    <xf numFmtId="0" fontId="12" fillId="0" borderId="10" xfId="0" applyFont="1" applyBorder="1" applyAlignment="1">
      <alignment horizontal="center"/>
    </xf>
    <xf numFmtId="0" fontId="12" fillId="0" borderId="10" xfId="0" applyFont="1" applyBorder="1" applyAlignment="1">
      <alignment horizontal="center" textRotation="90"/>
    </xf>
    <xf numFmtId="0" fontId="28" fillId="0" borderId="17" xfId="0" applyFont="1" applyBorder="1" applyAlignment="1">
      <alignment horizontal="right" shrinkToFit="1"/>
    </xf>
    <xf numFmtId="0" fontId="28" fillId="0" borderId="24" xfId="0" applyFont="1" applyBorder="1" applyAlignment="1">
      <alignment horizontal="right" shrinkToFit="1"/>
    </xf>
    <xf numFmtId="0" fontId="28" fillId="0" borderId="33" xfId="0" applyFont="1" applyBorder="1" applyAlignment="1">
      <alignment horizontal="right" shrinkToFit="1"/>
    </xf>
    <xf numFmtId="0" fontId="28" fillId="0" borderId="17" xfId="0" applyFont="1" applyBorder="1" applyAlignment="1">
      <alignment horizontal="right" shrinkToFit="1"/>
    </xf>
    <xf numFmtId="0" fontId="28" fillId="0" borderId="24" xfId="0" applyFont="1" applyBorder="1" applyAlignment="1">
      <alignment horizontal="right" shrinkToFit="1"/>
    </xf>
    <xf numFmtId="0" fontId="28" fillId="0" borderId="33" xfId="0" applyFont="1" applyBorder="1" applyAlignment="1">
      <alignment horizontal="right" shrinkToFit="1"/>
    </xf>
    <xf numFmtId="0" fontId="12" fillId="0" borderId="54" xfId="0" applyFont="1" applyBorder="1" applyAlignment="1">
      <alignment horizontal="center"/>
    </xf>
    <xf numFmtId="0" fontId="12" fillId="0" borderId="53" xfId="0" applyFont="1" applyBorder="1" applyAlignment="1">
      <alignment horizontal="center"/>
    </xf>
    <xf numFmtId="0" fontId="28" fillId="0" borderId="14" xfId="0" applyFont="1" applyBorder="1" applyAlignment="1">
      <alignment horizontal="right" shrinkToFit="1"/>
    </xf>
    <xf numFmtId="0" fontId="28" fillId="0" borderId="15" xfId="0" applyFont="1" applyBorder="1" applyAlignment="1">
      <alignment horizontal="right" shrinkToFit="1"/>
    </xf>
    <xf numFmtId="0" fontId="0" fillId="0" borderId="0" xfId="0" applyBorder="1" applyAlignment="1">
      <alignment horizontal="center"/>
    </xf>
    <xf numFmtId="0" fontId="0" fillId="0" borderId="21" xfId="0" applyBorder="1" applyAlignment="1">
      <alignment horizontal="center"/>
    </xf>
    <xf numFmtId="0" fontId="12" fillId="0" borderId="10" xfId="0" applyFont="1" applyBorder="1" applyAlignment="1">
      <alignment horizontal="center" shrinkToFit="1"/>
    </xf>
    <xf numFmtId="0" fontId="0" fillId="0" borderId="0"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14" fontId="0" fillId="0" borderId="0" xfId="0" applyNumberFormat="1" applyFill="1" applyBorder="1" applyAlignment="1">
      <alignment horizontal="left" vertical="center" wrapText="1"/>
    </xf>
    <xf numFmtId="0" fontId="49" fillId="0" borderId="0"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2" fontId="26" fillId="0" borderId="0" xfId="0" applyNumberFormat="1" applyFont="1" applyFill="1" applyBorder="1" applyAlignment="1">
      <alignment horizontal="left"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47" fillId="0" borderId="36"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12" fillId="0" borderId="51" xfId="0" applyFont="1" applyBorder="1" applyAlignment="1">
      <alignment horizontal="center" vertical="center" wrapText="1"/>
    </xf>
    <xf numFmtId="0" fontId="12" fillId="0" borderId="32" xfId="0" applyFont="1" applyBorder="1" applyAlignment="1">
      <alignment horizontal="center" vertical="center" wrapText="1"/>
    </xf>
    <xf numFmtId="165" fontId="5" fillId="0" borderId="15" xfId="0" applyNumberFormat="1" applyFont="1" applyBorder="1" applyAlignment="1">
      <alignment horizontal="center" vertical="center"/>
    </xf>
    <xf numFmtId="165" fontId="3" fillId="0" borderId="15" xfId="0" applyNumberFormat="1"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12" fillId="0" borderId="47"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0" xfId="0" applyFont="1" applyBorder="1" applyAlignment="1">
      <alignment horizontal="center" vertical="center" wrapText="1" shrinkToFit="1"/>
    </xf>
    <xf numFmtId="0" fontId="12" fillId="0" borderId="10" xfId="0" applyFont="1" applyBorder="1" applyAlignment="1">
      <alignment horizontal="left" vertical="center"/>
    </xf>
    <xf numFmtId="0" fontId="5" fillId="0" borderId="0" xfId="0" applyFont="1" applyAlignment="1">
      <alignment horizontal="center" wrapText="1"/>
    </xf>
    <xf numFmtId="0" fontId="0" fillId="0" borderId="0" xfId="0" applyAlignment="1">
      <alignment horizontal="center" vertical="center" wrapText="1"/>
    </xf>
    <xf numFmtId="0" fontId="13" fillId="0" borderId="0" xfId="0" applyFont="1" applyAlignment="1">
      <alignment horizontal="center" shrinkToFit="1"/>
    </xf>
    <xf numFmtId="165" fontId="13" fillId="0" borderId="0" xfId="0" applyNumberFormat="1" applyFont="1" applyAlignment="1">
      <alignment horizontal="right"/>
    </xf>
    <xf numFmtId="165" fontId="13" fillId="0" borderId="0" xfId="0" applyNumberFormat="1" applyFont="1" applyAlignment="1">
      <alignment horizontal="center" shrinkToFit="1"/>
    </xf>
    <xf numFmtId="0" fontId="0" fillId="0" borderId="15" xfId="0" applyBorder="1" applyAlignment="1">
      <alignment horizontal="center" vertical="center" wrapText="1"/>
    </xf>
    <xf numFmtId="0" fontId="5" fillId="0" borderId="0" xfId="0" applyFont="1" applyAlignment="1">
      <alignment horizontal="center"/>
    </xf>
    <xf numFmtId="0" fontId="0" fillId="0" borderId="0" xfId="0" applyAlignment="1" quotePrefix="1">
      <alignment horizontal="center"/>
    </xf>
    <xf numFmtId="0" fontId="4" fillId="0" borderId="0" xfId="0" applyFont="1" applyAlignment="1">
      <alignment horizontal="left" vertical="center" wrapText="1"/>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textRotation="90" wrapText="1"/>
    </xf>
    <xf numFmtId="0" fontId="0" fillId="0" borderId="0" xfId="0" applyBorder="1" applyAlignment="1">
      <alignment horizontal="center" shrinkToFit="1"/>
    </xf>
    <xf numFmtId="166" fontId="12" fillId="0" borderId="17" xfId="0" applyNumberFormat="1" applyFont="1" applyBorder="1" applyAlignment="1">
      <alignment horizontal="left"/>
    </xf>
    <xf numFmtId="166" fontId="12" fillId="0" borderId="33" xfId="0" applyNumberFormat="1" applyFont="1" applyBorder="1" applyAlignment="1">
      <alignment horizontal="left"/>
    </xf>
    <xf numFmtId="0" fontId="0" fillId="0" borderId="17" xfId="0" applyBorder="1" applyAlignment="1">
      <alignment horizontal="right"/>
    </xf>
    <xf numFmtId="0" fontId="0" fillId="0" borderId="24" xfId="0" applyBorder="1" applyAlignment="1">
      <alignment horizontal="right"/>
    </xf>
    <xf numFmtId="0" fontId="0" fillId="0" borderId="33" xfId="0" applyBorder="1" applyAlignment="1">
      <alignment horizontal="right"/>
    </xf>
    <xf numFmtId="0" fontId="0" fillId="0" borderId="0" xfId="0" applyFont="1" applyBorder="1" applyAlignment="1">
      <alignment horizontal="left" vertical="top" wrapText="1"/>
    </xf>
    <xf numFmtId="0" fontId="12" fillId="0" borderId="0" xfId="0" applyFont="1" applyAlignment="1">
      <alignment horizontal="left" shrinkToFit="1"/>
    </xf>
    <xf numFmtId="0" fontId="46" fillId="0" borderId="0" xfId="0" applyFont="1" applyAlignment="1">
      <alignment horizontal="center"/>
    </xf>
    <xf numFmtId="0" fontId="0" fillId="0" borderId="0" xfId="0" applyFont="1" applyAlignment="1">
      <alignment horizontal="center"/>
    </xf>
    <xf numFmtId="0" fontId="1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0</xdr:row>
      <xdr:rowOff>133350</xdr:rowOff>
    </xdr:from>
    <xdr:to>
      <xdr:col>8</xdr:col>
      <xdr:colOff>180975</xdr:colOff>
      <xdr:row>0</xdr:row>
      <xdr:rowOff>1895475</xdr:rowOff>
    </xdr:to>
    <xdr:pic>
      <xdr:nvPicPr>
        <xdr:cNvPr id="1" name="Picture 2"/>
        <xdr:cNvPicPr preferRelativeResize="1">
          <a:picLocks noChangeAspect="1"/>
        </xdr:cNvPicPr>
      </xdr:nvPicPr>
      <xdr:blipFill>
        <a:blip r:embed="rId1"/>
        <a:stretch>
          <a:fillRect/>
        </a:stretch>
      </xdr:blipFill>
      <xdr:spPr>
        <a:xfrm>
          <a:off x="3248025" y="133350"/>
          <a:ext cx="1885950" cy="1762125"/>
        </a:xfrm>
        <a:prstGeom prst="rect">
          <a:avLst/>
        </a:prstGeom>
        <a:noFill/>
        <a:ln w="1" cmpd="sng">
          <a:noFill/>
        </a:ln>
      </xdr:spPr>
    </xdr:pic>
    <xdr:clientData/>
  </xdr:twoCellAnchor>
  <xdr:twoCellAnchor editAs="oneCell">
    <xdr:from>
      <xdr:col>1</xdr:col>
      <xdr:colOff>590550</xdr:colOff>
      <xdr:row>8</xdr:row>
      <xdr:rowOff>104775</xdr:rowOff>
    </xdr:from>
    <xdr:to>
      <xdr:col>4</xdr:col>
      <xdr:colOff>438150</xdr:colOff>
      <xdr:row>14</xdr:row>
      <xdr:rowOff>142875</xdr:rowOff>
    </xdr:to>
    <xdr:pic>
      <xdr:nvPicPr>
        <xdr:cNvPr id="2" name="Picture 3" descr="DSC01300"/>
        <xdr:cNvPicPr preferRelativeResize="1">
          <a:picLocks noChangeAspect="1"/>
        </xdr:cNvPicPr>
      </xdr:nvPicPr>
      <xdr:blipFill>
        <a:blip r:embed="rId2"/>
        <a:srcRect l="13362" t="10958" r="24569" b="12329"/>
        <a:stretch>
          <a:fillRect/>
        </a:stretch>
      </xdr:blipFill>
      <xdr:spPr>
        <a:xfrm>
          <a:off x="1209675" y="3771900"/>
          <a:ext cx="1704975" cy="1409700"/>
        </a:xfrm>
        <a:prstGeom prst="rect">
          <a:avLst/>
        </a:prstGeom>
        <a:noFill/>
        <a:ln w="76200" cmpd="tri">
          <a:solidFill>
            <a:srgbClr val="000000"/>
          </a:solidFill>
          <a:headEnd type="none"/>
          <a:tailEnd type="none"/>
        </a:ln>
      </xdr:spPr>
    </xdr:pic>
    <xdr:clientData/>
  </xdr:twoCellAnchor>
  <xdr:twoCellAnchor editAs="oneCell">
    <xdr:from>
      <xdr:col>5</xdr:col>
      <xdr:colOff>600075</xdr:colOff>
      <xdr:row>39</xdr:row>
      <xdr:rowOff>28575</xdr:rowOff>
    </xdr:from>
    <xdr:to>
      <xdr:col>6</xdr:col>
      <xdr:colOff>304800</xdr:colOff>
      <xdr:row>40</xdr:row>
      <xdr:rowOff>57150</xdr:rowOff>
    </xdr:to>
    <xdr:pic>
      <xdr:nvPicPr>
        <xdr:cNvPr id="3" name="Picture 3" descr="Button image"/>
        <xdr:cNvPicPr preferRelativeResize="1">
          <a:picLocks noChangeAspect="1"/>
        </xdr:cNvPicPr>
      </xdr:nvPicPr>
      <xdr:blipFill>
        <a:blip r:embed="rId3"/>
        <a:stretch>
          <a:fillRect/>
        </a:stretch>
      </xdr:blipFill>
      <xdr:spPr>
        <a:xfrm>
          <a:off x="3695700" y="10496550"/>
          <a:ext cx="323850" cy="257175"/>
        </a:xfrm>
        <a:prstGeom prst="rect">
          <a:avLst/>
        </a:prstGeom>
        <a:noFill/>
        <a:ln w="9525" cmpd="sng">
          <a:noFill/>
        </a:ln>
      </xdr:spPr>
    </xdr:pic>
    <xdr:clientData/>
  </xdr:twoCellAnchor>
  <xdr:twoCellAnchor editAs="oneCell">
    <xdr:from>
      <xdr:col>12</xdr:col>
      <xdr:colOff>485775</xdr:colOff>
      <xdr:row>18</xdr:row>
      <xdr:rowOff>9525</xdr:rowOff>
    </xdr:from>
    <xdr:to>
      <xdr:col>14</xdr:col>
      <xdr:colOff>457200</xdr:colOff>
      <xdr:row>18</xdr:row>
      <xdr:rowOff>219075</xdr:rowOff>
    </xdr:to>
    <xdr:pic>
      <xdr:nvPicPr>
        <xdr:cNvPr id="4" name="Picture 5" descr="logo _ iteacherz.PNG"/>
        <xdr:cNvPicPr preferRelativeResize="1">
          <a:picLocks noChangeAspect="1"/>
        </xdr:cNvPicPr>
      </xdr:nvPicPr>
      <xdr:blipFill>
        <a:blip r:embed="rId4"/>
        <a:stretch>
          <a:fillRect/>
        </a:stretch>
      </xdr:blipFill>
      <xdr:spPr>
        <a:xfrm>
          <a:off x="7915275" y="6029325"/>
          <a:ext cx="1209675"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31</xdr:row>
      <xdr:rowOff>28575</xdr:rowOff>
    </xdr:from>
    <xdr:to>
      <xdr:col>0</xdr:col>
      <xdr:colOff>895350</xdr:colOff>
      <xdr:row>34</xdr:row>
      <xdr:rowOff>133350</xdr:rowOff>
    </xdr:to>
    <xdr:sp>
      <xdr:nvSpPr>
        <xdr:cNvPr id="1" name="Oval 1"/>
        <xdr:cNvSpPr>
          <a:spLocks/>
        </xdr:cNvSpPr>
      </xdr:nvSpPr>
      <xdr:spPr>
        <a:xfrm>
          <a:off x="161925" y="7543800"/>
          <a:ext cx="733425" cy="704850"/>
        </a:xfrm>
        <a:prstGeom prst="ellipse">
          <a:avLst/>
        </a:prstGeom>
        <a:no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DDO Seal</a:t>
          </a:r>
        </a:p>
      </xdr:txBody>
    </xdr:sp>
    <xdr:clientData/>
  </xdr:twoCellAnchor>
  <xdr:twoCellAnchor>
    <xdr:from>
      <xdr:col>11</xdr:col>
      <xdr:colOff>333375</xdr:colOff>
      <xdr:row>31</xdr:row>
      <xdr:rowOff>19050</xdr:rowOff>
    </xdr:from>
    <xdr:to>
      <xdr:col>14</xdr:col>
      <xdr:colOff>66675</xdr:colOff>
      <xdr:row>34</xdr:row>
      <xdr:rowOff>142875</xdr:rowOff>
    </xdr:to>
    <xdr:sp>
      <xdr:nvSpPr>
        <xdr:cNvPr id="2" name="Oval 2"/>
        <xdr:cNvSpPr>
          <a:spLocks/>
        </xdr:cNvSpPr>
      </xdr:nvSpPr>
      <xdr:spPr>
        <a:xfrm>
          <a:off x="4791075" y="7534275"/>
          <a:ext cx="762000" cy="723900"/>
        </a:xfrm>
        <a:prstGeom prst="ellipse">
          <a:avLst/>
        </a:prstGeom>
        <a:no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Treasury Seal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28</xdr:row>
      <xdr:rowOff>76200</xdr:rowOff>
    </xdr:from>
    <xdr:to>
      <xdr:col>1</xdr:col>
      <xdr:colOff>676275</xdr:colOff>
      <xdr:row>31</xdr:row>
      <xdr:rowOff>47625</xdr:rowOff>
    </xdr:to>
    <xdr:sp>
      <xdr:nvSpPr>
        <xdr:cNvPr id="1" name="Oval 1"/>
        <xdr:cNvSpPr>
          <a:spLocks/>
        </xdr:cNvSpPr>
      </xdr:nvSpPr>
      <xdr:spPr>
        <a:xfrm>
          <a:off x="371475" y="7581900"/>
          <a:ext cx="647700" cy="609600"/>
        </a:xfrm>
        <a:prstGeom prst="ellipse">
          <a:avLst/>
        </a:prstGeom>
        <a:no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DDO Seal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66</xdr:row>
      <xdr:rowOff>28575</xdr:rowOff>
    </xdr:from>
    <xdr:to>
      <xdr:col>3</xdr:col>
      <xdr:colOff>190500</xdr:colOff>
      <xdr:row>69</xdr:row>
      <xdr:rowOff>19050</xdr:rowOff>
    </xdr:to>
    <xdr:sp>
      <xdr:nvSpPr>
        <xdr:cNvPr id="1" name="Oval 1"/>
        <xdr:cNvSpPr>
          <a:spLocks/>
        </xdr:cNvSpPr>
      </xdr:nvSpPr>
      <xdr:spPr>
        <a:xfrm>
          <a:off x="390525" y="10391775"/>
          <a:ext cx="600075" cy="63817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NBST/Bank   Seal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Documents%20and%20Settings\Pooji\Desktop\ORIGINAL%20BILL(not%20modifi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 SHEET"/>
      <sheetName val="PAPER"/>
      <sheetName val="101"/>
      <sheetName val="47-FRONT"/>
      <sheetName val="BILL"/>
      <sheetName val="47-BACK"/>
      <sheetName val="A.N-I"/>
      <sheetName val="A.N-II"/>
      <sheetName val="A.N-III"/>
      <sheetName val="A.P.G.L.I"/>
      <sheetName val="A.N-A"/>
      <sheetName val="G.I.S"/>
      <sheetName val="P.T."/>
      <sheetName val="Z.P.P.F"/>
      <sheetName val="FESTI.ADVN."/>
      <sheetName val="EWF"/>
      <sheetName val="CMRF"/>
      <sheetName val="INCRE-NOV"/>
      <sheetName val="49-NOV"/>
      <sheetName val="INCRE-JAN"/>
      <sheetName val="49-JAN"/>
      <sheetName val="INCRE-JULY"/>
      <sheetName val="49-JULY"/>
      <sheetName val="INCRE-AUG"/>
      <sheetName val="49-AUG"/>
      <sheetName val="47-FRO(DA-1)"/>
      <sheetName val="D.A.ARREAR-JULY"/>
      <sheetName val="47-BACK(DA-1)"/>
      <sheetName val="ZPPF(D.A-1)"/>
      <sheetName val="47-FRO(D.A-2)"/>
      <sheetName val="D.A.ARREAR-JAN"/>
      <sheetName val="47-BACK(D.A-2)"/>
      <sheetName val="ZPPF(D.A-2)"/>
      <sheetName val="SALARY CERT."/>
      <sheetName val="G&amp;N"/>
    </sheetNames>
    <sheetDataSet>
      <sheetData sheetId="4">
        <row r="71">
          <cell r="AE71" t="str">
            <v> </v>
          </cell>
        </row>
        <row r="92">
          <cell r="AF9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uthisannamuri@rediffmail.com" TargetMode="External" /><Relationship Id="rId2" Type="http://schemas.openxmlformats.org/officeDocument/2006/relationships/hyperlink" Target="mailto:srinivasarao.thanga@gmail.com" TargetMode="External" /><Relationship Id="rId3" Type="http://schemas.openxmlformats.org/officeDocument/2006/relationships/hyperlink" Target="mailto:thirumalaaavula@rediffmail.com" TargetMode="External" /><Relationship Id="rId4" Type="http://schemas.openxmlformats.org/officeDocument/2006/relationships/hyperlink" Target="http://iteacherz.blogspot.co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P46"/>
  <sheetViews>
    <sheetView showGridLines="0" zoomScalePageLayoutView="0" workbookViewId="0" topLeftCell="A13">
      <selection activeCell="M19" sqref="M19"/>
    </sheetView>
  </sheetViews>
  <sheetFormatPr defaultColWidth="9.140625" defaultRowHeight="12.75"/>
  <cols>
    <col min="1" max="15" width="9.28125" style="0" customWidth="1"/>
    <col min="16" max="16" width="2.140625" style="0" customWidth="1"/>
  </cols>
  <sheetData>
    <row r="1" spans="1:15" ht="156.75" customHeight="1">
      <c r="A1" s="616"/>
      <c r="B1" s="616"/>
      <c r="C1" s="616"/>
      <c r="D1" s="616"/>
      <c r="E1" s="616"/>
      <c r="F1" s="616"/>
      <c r="G1" s="616"/>
      <c r="H1" s="616"/>
      <c r="I1" s="616"/>
      <c r="J1" s="616"/>
      <c r="K1" s="616"/>
      <c r="L1" s="616"/>
      <c r="M1" s="616"/>
      <c r="N1" s="616"/>
      <c r="O1" s="616"/>
    </row>
    <row r="2" spans="1:15" ht="20.25">
      <c r="A2" s="620" t="s">
        <v>686</v>
      </c>
      <c r="B2" s="620"/>
      <c r="C2" s="620"/>
      <c r="D2" s="620"/>
      <c r="E2" s="620"/>
      <c r="F2" s="620"/>
      <c r="G2" s="620"/>
      <c r="H2" s="620"/>
      <c r="I2" s="620"/>
      <c r="J2" s="620"/>
      <c r="K2" s="620"/>
      <c r="L2" s="620"/>
      <c r="M2" s="620"/>
      <c r="N2" s="620"/>
      <c r="O2" s="620"/>
    </row>
    <row r="3" spans="1:14" ht="26.25">
      <c r="A3" s="357"/>
      <c r="B3" s="357"/>
      <c r="C3" s="357"/>
      <c r="D3" s="357"/>
      <c r="E3" s="357"/>
      <c r="F3" s="357"/>
      <c r="G3" s="357"/>
      <c r="H3" s="357"/>
      <c r="I3" s="357"/>
      <c r="J3" s="357"/>
      <c r="K3" s="357"/>
      <c r="L3" s="357"/>
      <c r="M3" s="357"/>
      <c r="N3" s="357"/>
    </row>
    <row r="4" spans="1:15" s="366" customFormat="1" ht="18">
      <c r="A4" s="608" t="s">
        <v>472</v>
      </c>
      <c r="B4" s="608"/>
      <c r="C4" s="608"/>
      <c r="D4" s="608"/>
      <c r="E4" s="608"/>
      <c r="F4" s="608"/>
      <c r="G4" s="608"/>
      <c r="H4" s="608"/>
      <c r="I4" s="608"/>
      <c r="J4" s="608"/>
      <c r="K4" s="608"/>
      <c r="L4" s="608"/>
      <c r="M4" s="608"/>
      <c r="N4" s="608"/>
      <c r="O4" s="608"/>
    </row>
    <row r="5" spans="1:14" s="366" customFormat="1" ht="18">
      <c r="A5" s="617" t="s">
        <v>687</v>
      </c>
      <c r="B5" s="617"/>
      <c r="C5" s="617"/>
      <c r="D5" s="617"/>
      <c r="E5" s="617"/>
      <c r="F5" s="617"/>
      <c r="G5" s="617"/>
      <c r="H5" s="617"/>
      <c r="I5" s="617"/>
      <c r="J5" s="617"/>
      <c r="K5" s="617"/>
      <c r="L5" s="617"/>
      <c r="M5" s="617"/>
      <c r="N5" s="617"/>
    </row>
    <row r="6" spans="1:14" ht="16.5">
      <c r="A6" s="358"/>
      <c r="B6" s="358"/>
      <c r="C6" s="358"/>
      <c r="D6" s="358"/>
      <c r="E6" s="358"/>
      <c r="F6" s="358"/>
      <c r="G6" s="358"/>
      <c r="H6" s="358"/>
      <c r="I6" s="358"/>
      <c r="J6" s="358"/>
      <c r="K6" s="358"/>
      <c r="L6" s="358"/>
      <c r="M6" s="358"/>
      <c r="N6" s="358"/>
    </row>
    <row r="7" s="359" customFormat="1" ht="18">
      <c r="E7" s="365" t="s">
        <v>207</v>
      </c>
    </row>
    <row r="8" s="360" customFormat="1" ht="15" customHeight="1"/>
    <row r="9" spans="6:11" s="363" customFormat="1" ht="18" customHeight="1">
      <c r="F9" s="363" t="s">
        <v>462</v>
      </c>
      <c r="J9" s="369"/>
      <c r="K9" s="367"/>
    </row>
    <row r="10" spans="6:11" s="363" customFormat="1" ht="18" customHeight="1">
      <c r="F10" s="363" t="s">
        <v>463</v>
      </c>
      <c r="J10" s="369"/>
      <c r="K10" s="367"/>
    </row>
    <row r="11" spans="6:11" s="363" customFormat="1" ht="18" customHeight="1">
      <c r="F11" s="363" t="s">
        <v>464</v>
      </c>
      <c r="J11" s="369"/>
      <c r="K11" s="367"/>
    </row>
    <row r="12" spans="6:11" s="363" customFormat="1" ht="18" customHeight="1">
      <c r="F12" s="363" t="s">
        <v>160</v>
      </c>
      <c r="J12" s="369"/>
      <c r="K12" s="367"/>
    </row>
    <row r="13" spans="6:11" s="363" customFormat="1" ht="18" customHeight="1">
      <c r="F13" s="363" t="s">
        <v>208</v>
      </c>
      <c r="J13" s="369"/>
      <c r="K13" s="367"/>
    </row>
    <row r="14" spans="6:11" s="363" customFormat="1" ht="18" customHeight="1">
      <c r="F14" s="363" t="s">
        <v>465</v>
      </c>
      <c r="J14" s="369"/>
      <c r="K14" s="367"/>
    </row>
    <row r="15" spans="6:12" s="364" customFormat="1" ht="18" customHeight="1">
      <c r="F15" s="615" t="s">
        <v>675</v>
      </c>
      <c r="G15" s="615"/>
      <c r="H15" s="615"/>
      <c r="I15" s="615"/>
      <c r="J15" s="615"/>
      <c r="K15" s="615"/>
      <c r="L15" s="615"/>
    </row>
    <row r="16" s="364" customFormat="1" ht="23.25" customHeight="1">
      <c r="K16" s="368"/>
    </row>
    <row r="17" spans="1:11" s="365" customFormat="1" ht="18">
      <c r="A17" s="365" t="s">
        <v>466</v>
      </c>
      <c r="I17" s="365" t="s">
        <v>523</v>
      </c>
      <c r="J17" s="369"/>
      <c r="K17" s="367"/>
    </row>
    <row r="18" s="364" customFormat="1" ht="18" customHeight="1">
      <c r="K18" s="368"/>
    </row>
    <row r="19" spans="2:11" s="363" customFormat="1" ht="18" customHeight="1">
      <c r="B19" s="363" t="s">
        <v>467</v>
      </c>
      <c r="F19" s="369"/>
      <c r="J19" s="398" t="s">
        <v>697</v>
      </c>
      <c r="K19" s="367"/>
    </row>
    <row r="20" spans="2:10" s="363" customFormat="1" ht="18" customHeight="1">
      <c r="B20" s="363" t="s">
        <v>468</v>
      </c>
      <c r="J20" s="398" t="s">
        <v>508</v>
      </c>
    </row>
    <row r="21" spans="2:10" s="363" customFormat="1" ht="18" customHeight="1">
      <c r="B21" s="363" t="s">
        <v>464</v>
      </c>
      <c r="J21" s="398" t="s">
        <v>159</v>
      </c>
    </row>
    <row r="22" spans="2:10" s="363" customFormat="1" ht="18" customHeight="1">
      <c r="B22" s="363" t="s">
        <v>469</v>
      </c>
      <c r="J22" s="398" t="s">
        <v>521</v>
      </c>
    </row>
    <row r="23" spans="2:10" s="363" customFormat="1" ht="18" customHeight="1">
      <c r="B23" s="363" t="s">
        <v>470</v>
      </c>
      <c r="J23" s="398" t="s">
        <v>520</v>
      </c>
    </row>
    <row r="24" spans="2:10" s="363" customFormat="1" ht="18" customHeight="1">
      <c r="B24" s="363" t="s">
        <v>471</v>
      </c>
      <c r="J24" s="398" t="s">
        <v>522</v>
      </c>
    </row>
    <row r="25" spans="2:16" ht="18" customHeight="1">
      <c r="B25" s="615" t="s">
        <v>677</v>
      </c>
      <c r="C25" s="615"/>
      <c r="D25" s="615"/>
      <c r="E25" s="615"/>
      <c r="F25" s="615"/>
      <c r="G25" s="615"/>
      <c r="J25" s="619" t="s">
        <v>676</v>
      </c>
      <c r="K25" s="619"/>
      <c r="L25" s="619"/>
      <c r="M25" s="619"/>
      <c r="N25" s="619"/>
      <c r="O25" s="619"/>
      <c r="P25" s="619"/>
    </row>
    <row r="26" spans="10:16" ht="18" customHeight="1">
      <c r="J26" s="621" t="s">
        <v>678</v>
      </c>
      <c r="K26" s="621"/>
      <c r="L26" s="621"/>
      <c r="M26" s="621"/>
      <c r="N26" s="621"/>
      <c r="O26" s="621"/>
      <c r="P26" s="621"/>
    </row>
    <row r="27" spans="10:16" ht="18" customHeight="1">
      <c r="J27" s="531"/>
      <c r="K27" s="531"/>
      <c r="L27" s="531"/>
      <c r="M27" s="531"/>
      <c r="N27" s="531"/>
      <c r="O27" s="531"/>
      <c r="P27" s="531"/>
    </row>
    <row r="28" spans="1:15" ht="15.75">
      <c r="A28" s="529" t="s">
        <v>2</v>
      </c>
      <c r="B28" s="613" t="s">
        <v>692</v>
      </c>
      <c r="C28" s="613"/>
      <c r="D28" s="613"/>
      <c r="E28" s="613"/>
      <c r="F28" s="613"/>
      <c r="G28" s="613"/>
      <c r="H28" s="613"/>
      <c r="I28" s="613"/>
      <c r="J28" s="613"/>
      <c r="K28" s="613"/>
      <c r="L28" s="613"/>
      <c r="M28" s="613"/>
      <c r="N28" s="613"/>
      <c r="O28" s="613"/>
    </row>
    <row r="29" spans="1:15" s="361" customFormat="1" ht="15.75" customHeight="1">
      <c r="A29" s="610" t="s">
        <v>4</v>
      </c>
      <c r="B29" s="609" t="s">
        <v>679</v>
      </c>
      <c r="C29" s="609"/>
      <c r="D29" s="609"/>
      <c r="E29" s="609"/>
      <c r="F29" s="609"/>
      <c r="G29" s="609"/>
      <c r="H29" s="609"/>
      <c r="I29" s="609"/>
      <c r="J29" s="609"/>
      <c r="K29" s="609"/>
      <c r="L29" s="609"/>
      <c r="M29" s="609"/>
      <c r="N29" s="609"/>
      <c r="O29" s="609"/>
    </row>
    <row r="30" spans="1:15" s="361" customFormat="1" ht="15.75" customHeight="1">
      <c r="A30" s="611"/>
      <c r="B30" s="609"/>
      <c r="C30" s="609"/>
      <c r="D30" s="609"/>
      <c r="E30" s="609"/>
      <c r="F30" s="609"/>
      <c r="G30" s="609"/>
      <c r="H30" s="609"/>
      <c r="I30" s="609"/>
      <c r="J30" s="609"/>
      <c r="K30" s="609"/>
      <c r="L30" s="609"/>
      <c r="M30" s="609"/>
      <c r="N30" s="609"/>
      <c r="O30" s="609"/>
    </row>
    <row r="31" spans="1:15" s="361" customFormat="1" ht="15.75" customHeight="1">
      <c r="A31" s="529" t="s">
        <v>5</v>
      </c>
      <c r="B31" s="613" t="s">
        <v>688</v>
      </c>
      <c r="C31" s="613"/>
      <c r="D31" s="613"/>
      <c r="E31" s="613"/>
      <c r="F31" s="613"/>
      <c r="G31" s="613"/>
      <c r="H31" s="613"/>
      <c r="I31" s="613"/>
      <c r="J31" s="613"/>
      <c r="K31" s="613"/>
      <c r="L31" s="613"/>
      <c r="M31" s="613"/>
      <c r="N31" s="613"/>
      <c r="O31" s="613"/>
    </row>
    <row r="32" spans="1:15" s="362" customFormat="1" ht="15.75" customHeight="1">
      <c r="A32" s="529" t="s">
        <v>682</v>
      </c>
      <c r="B32" s="618" t="s">
        <v>689</v>
      </c>
      <c r="C32" s="618"/>
      <c r="D32" s="618"/>
      <c r="E32" s="618"/>
      <c r="F32" s="618"/>
      <c r="G32" s="618"/>
      <c r="H32" s="618"/>
      <c r="I32" s="618"/>
      <c r="J32" s="618"/>
      <c r="K32" s="618"/>
      <c r="L32" s="618"/>
      <c r="M32" s="618"/>
      <c r="N32" s="618"/>
      <c r="O32" s="618"/>
    </row>
    <row r="33" spans="1:15" s="362" customFormat="1" ht="15.75" customHeight="1">
      <c r="A33" s="529"/>
      <c r="B33" s="618"/>
      <c r="C33" s="618"/>
      <c r="D33" s="618"/>
      <c r="E33" s="618"/>
      <c r="F33" s="618"/>
      <c r="G33" s="618"/>
      <c r="H33" s="618"/>
      <c r="I33" s="618"/>
      <c r="J33" s="618"/>
      <c r="K33" s="618"/>
      <c r="L33" s="618"/>
      <c r="M33" s="618"/>
      <c r="N33" s="618"/>
      <c r="O33" s="618"/>
    </row>
    <row r="34" spans="1:15" ht="15.75" customHeight="1">
      <c r="A34" s="529" t="s">
        <v>683</v>
      </c>
      <c r="B34" s="612" t="s">
        <v>680</v>
      </c>
      <c r="C34" s="612"/>
      <c r="D34" s="612"/>
      <c r="E34" s="612"/>
      <c r="F34" s="612"/>
      <c r="G34" s="612"/>
      <c r="H34" s="612"/>
      <c r="I34" s="612"/>
      <c r="J34" s="612"/>
      <c r="K34" s="612"/>
      <c r="L34" s="612"/>
      <c r="M34" s="612"/>
      <c r="N34" s="612"/>
      <c r="O34" s="612"/>
    </row>
    <row r="35" spans="1:15" ht="15.75" customHeight="1">
      <c r="A35" s="530"/>
      <c r="B35" s="612"/>
      <c r="C35" s="612"/>
      <c r="D35" s="612"/>
      <c r="E35" s="612"/>
      <c r="F35" s="612"/>
      <c r="G35" s="612"/>
      <c r="H35" s="612"/>
      <c r="I35" s="612"/>
      <c r="J35" s="612"/>
      <c r="K35" s="612"/>
      <c r="L35" s="612"/>
      <c r="M35" s="612"/>
      <c r="N35" s="612"/>
      <c r="O35" s="612"/>
    </row>
    <row r="36" spans="1:15" ht="15.75" customHeight="1">
      <c r="A36" s="529" t="s">
        <v>684</v>
      </c>
      <c r="B36" s="613" t="s">
        <v>681</v>
      </c>
      <c r="C36" s="613"/>
      <c r="D36" s="613"/>
      <c r="E36" s="613"/>
      <c r="F36" s="613"/>
      <c r="G36" s="613"/>
      <c r="H36" s="613"/>
      <c r="I36" s="613"/>
      <c r="J36" s="613"/>
      <c r="K36" s="613"/>
      <c r="L36" s="613"/>
      <c r="M36" s="613"/>
      <c r="N36" s="613"/>
      <c r="O36" s="613"/>
    </row>
    <row r="37" spans="1:15" ht="15.75" customHeight="1">
      <c r="A37" s="529" t="s">
        <v>685</v>
      </c>
      <c r="B37" s="609" t="s">
        <v>690</v>
      </c>
      <c r="C37" s="609"/>
      <c r="D37" s="609"/>
      <c r="E37" s="609"/>
      <c r="F37" s="609"/>
      <c r="G37" s="609"/>
      <c r="H37" s="609"/>
      <c r="I37" s="609"/>
      <c r="J37" s="609"/>
      <c r="K37" s="609"/>
      <c r="L37" s="609"/>
      <c r="M37" s="609"/>
      <c r="N37" s="609"/>
      <c r="O37" s="609"/>
    </row>
    <row r="38" spans="2:15" ht="15.75" customHeight="1">
      <c r="B38" s="609"/>
      <c r="C38" s="609"/>
      <c r="D38" s="609"/>
      <c r="E38" s="609"/>
      <c r="F38" s="609"/>
      <c r="G38" s="609"/>
      <c r="H38" s="609"/>
      <c r="I38" s="609"/>
      <c r="J38" s="609"/>
      <c r="K38" s="609"/>
      <c r="L38" s="609"/>
      <c r="M38" s="609"/>
      <c r="N38" s="609"/>
      <c r="O38" s="609"/>
    </row>
    <row r="39" spans="1:15" ht="15" customHeight="1">
      <c r="A39" s="529" t="s">
        <v>693</v>
      </c>
      <c r="B39" s="613" t="s">
        <v>691</v>
      </c>
      <c r="C39" s="613"/>
      <c r="D39" s="613"/>
      <c r="E39" s="613"/>
      <c r="F39" s="613"/>
      <c r="G39" s="613"/>
      <c r="H39" s="613"/>
      <c r="I39" s="613"/>
      <c r="J39" s="613"/>
      <c r="K39" s="613"/>
      <c r="L39" s="613"/>
      <c r="M39" s="613"/>
      <c r="N39" s="613"/>
      <c r="O39" s="613"/>
    </row>
    <row r="40" spans="1:11" ht="18" customHeight="1">
      <c r="A40" s="529"/>
      <c r="B40" s="361"/>
      <c r="C40" s="614" t="s">
        <v>696</v>
      </c>
      <c r="D40" s="614"/>
      <c r="E40" s="614"/>
      <c r="F40" s="614"/>
      <c r="G40" s="614"/>
      <c r="H40" s="614"/>
      <c r="I40" s="614"/>
      <c r="J40" s="614"/>
      <c r="K40" s="614"/>
    </row>
    <row r="41" spans="1:11" ht="18" customHeight="1">
      <c r="A41" s="529"/>
      <c r="B41" s="361"/>
      <c r="C41" s="614" t="s">
        <v>694</v>
      </c>
      <c r="D41" s="614"/>
      <c r="E41" s="614"/>
      <c r="F41" s="614"/>
      <c r="G41" s="614"/>
      <c r="H41" s="614"/>
      <c r="I41" s="614"/>
      <c r="J41" s="614"/>
      <c r="K41" s="614"/>
    </row>
    <row r="42" spans="1:11" ht="18" customHeight="1">
      <c r="A42" s="529"/>
      <c r="B42" s="361"/>
      <c r="C42" s="614" t="s">
        <v>695</v>
      </c>
      <c r="D42" s="614"/>
      <c r="E42" s="614"/>
      <c r="F42" s="614"/>
      <c r="G42" s="614"/>
      <c r="H42" s="614"/>
      <c r="I42" s="614"/>
      <c r="J42" s="614"/>
      <c r="K42" s="614"/>
    </row>
    <row r="43" spans="2:14" ht="23.25">
      <c r="B43" s="607" t="s">
        <v>674</v>
      </c>
      <c r="C43" s="607"/>
      <c r="D43" s="607"/>
      <c r="E43" s="607"/>
      <c r="F43" s="607"/>
      <c r="G43" s="607"/>
      <c r="H43" s="607"/>
      <c r="I43" s="607"/>
      <c r="J43" s="607"/>
      <c r="K43" s="607"/>
      <c r="L43" s="607"/>
      <c r="M43" s="607"/>
      <c r="N43" s="607"/>
    </row>
    <row r="46" ht="12.75">
      <c r="B46" s="318"/>
    </row>
  </sheetData>
  <sheetProtection password="BBCA" sheet="1" objects="1" scenarios="1" selectLockedCells="1"/>
  <mergeCells count="21">
    <mergeCell ref="B31:O31"/>
    <mergeCell ref="A1:O1"/>
    <mergeCell ref="A5:N5"/>
    <mergeCell ref="B28:O28"/>
    <mergeCell ref="C40:K40"/>
    <mergeCell ref="B32:O33"/>
    <mergeCell ref="B37:O38"/>
    <mergeCell ref="B25:G25"/>
    <mergeCell ref="B39:O39"/>
    <mergeCell ref="J25:P25"/>
    <mergeCell ref="A2:O2"/>
    <mergeCell ref="B43:N43"/>
    <mergeCell ref="A4:O4"/>
    <mergeCell ref="B29:O30"/>
    <mergeCell ref="A29:A30"/>
    <mergeCell ref="B34:O35"/>
    <mergeCell ref="B36:O36"/>
    <mergeCell ref="C42:K42"/>
    <mergeCell ref="F15:L15"/>
    <mergeCell ref="C41:K41"/>
    <mergeCell ref="J26:P26"/>
  </mergeCells>
  <hyperlinks>
    <hyperlink ref="F15" r:id="rId1" display="maruthisannamuri@rediffmail.com"/>
    <hyperlink ref="J25" r:id="rId2" display="srinivasarao.thanga@gmail.com"/>
    <hyperlink ref="B25" r:id="rId3" display="thirumalaaavula@rediffmail.com"/>
    <hyperlink ref="J26" r:id="rId4" display="http://iteacherz.blogspot.com"/>
  </hyperlinks>
  <printOptions/>
  <pageMargins left="0.75" right="0.75" top="1" bottom="1" header="0.5" footer="0.5"/>
  <pageSetup horizontalDpi="300" verticalDpi="300" orientation="portrait" paperSize="9" r:id="rId8"/>
  <ignoredErrors>
    <ignoredError sqref="A30 A35" numberStoredAsText="1"/>
  </ignoredErrors>
  <drawing r:id="rId7"/>
  <legacyDrawing r:id="rId6"/>
</worksheet>
</file>

<file path=xl/worksheets/sheet10.xml><?xml version="1.0" encoding="utf-8"?>
<worksheet xmlns="http://schemas.openxmlformats.org/spreadsheetml/2006/main" xmlns:r="http://schemas.openxmlformats.org/officeDocument/2006/relationships">
  <sheetPr codeName="Sheet10"/>
  <dimension ref="B1:AH42"/>
  <sheetViews>
    <sheetView showZeros="0" tabSelected="1" zoomScalePageLayoutView="0" workbookViewId="0" topLeftCell="B1">
      <pane ySplit="4" topLeftCell="BM12" activePane="bottomLeft" state="frozen"/>
      <selection pane="topLeft" activeCell="A1" sqref="A1"/>
      <selection pane="bottomLeft" activeCell="X44" sqref="X44"/>
    </sheetView>
  </sheetViews>
  <sheetFormatPr defaultColWidth="9.140625" defaultRowHeight="12.75"/>
  <cols>
    <col min="1" max="1" width="1.7109375" style="0" customWidth="1"/>
    <col min="2" max="2" width="7.00390625" style="0" customWidth="1"/>
    <col min="3" max="3" width="6.8515625" style="0" customWidth="1"/>
    <col min="4" max="4" width="9.28125" style="0" customWidth="1"/>
    <col min="5" max="5" width="9.7109375" style="0" customWidth="1"/>
    <col min="6" max="6" width="4.140625" style="0" customWidth="1"/>
    <col min="7" max="7" width="6.140625" style="0" customWidth="1"/>
    <col min="8" max="8" width="4.00390625" style="0" customWidth="1"/>
    <col min="9" max="9" width="3.7109375" style="0" customWidth="1"/>
    <col min="10" max="10" width="4.7109375" style="0" customWidth="1"/>
    <col min="11" max="11" width="4.8515625" style="0" customWidth="1"/>
    <col min="12" max="13" width="4.421875" style="0" customWidth="1"/>
    <col min="14" max="14" width="4.8515625" style="0" customWidth="1"/>
    <col min="15" max="15" width="4.57421875" style="0" hidden="1" customWidth="1"/>
    <col min="16" max="16" width="6.421875" style="0" customWidth="1"/>
    <col min="17" max="17" width="6.140625" style="0" customWidth="1"/>
    <col min="18" max="18" width="4.28125" style="0" customWidth="1"/>
    <col min="19" max="19" width="4.140625" style="0" customWidth="1"/>
    <col min="20" max="20" width="5.421875" style="0" customWidth="1"/>
    <col min="21" max="21" width="5.28125" style="0" customWidth="1"/>
    <col min="22" max="23" width="5.8515625" style="0" customWidth="1"/>
    <col min="24" max="24" width="5.00390625" style="0" customWidth="1"/>
    <col min="25" max="25" width="4.57421875" style="0" hidden="1" customWidth="1"/>
    <col min="26" max="26" width="6.140625" style="0" customWidth="1"/>
    <col min="27" max="27" width="6.00390625" style="0" customWidth="1"/>
    <col min="28" max="28" width="5.8515625" style="0" customWidth="1"/>
    <col min="29" max="29" width="6.00390625" style="0" bestFit="1" customWidth="1"/>
    <col min="30" max="32" width="4.57421875" style="0" customWidth="1"/>
    <col min="33" max="33" width="4.140625" style="0" hidden="1" customWidth="1"/>
    <col min="34" max="34" width="6.28125" style="0" customWidth="1"/>
    <col min="35" max="35" width="5.140625" style="0" customWidth="1"/>
  </cols>
  <sheetData>
    <row r="1" spans="2:34" ht="13.5" customHeight="1">
      <c r="B1" s="870" t="str">
        <f>CONCATENATE("Claim for pay fixcation arrear in the Automatec Advacement Sceme of ",'WORK SHEET'!E2," ",PROCEEDINGS!G19," ",'WORK SHEET'!E3," ",'WORK SHEET'!E4)</f>
        <v>Claim for pay fixcation arrear in the Automatec Advacement Sceme of P.BRAMHANANDA REDDY H.M. MPPS, CHAKRAYAPALEM</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71"/>
    </row>
    <row r="2" spans="2:34" ht="7.5" customHeight="1">
      <c r="B2" s="329"/>
      <c r="C2" s="15"/>
      <c r="D2" s="874"/>
      <c r="E2" s="874"/>
      <c r="F2" s="874"/>
      <c r="G2" s="874"/>
      <c r="H2" s="874"/>
      <c r="I2" s="874"/>
      <c r="J2" s="874"/>
      <c r="K2" s="874"/>
      <c r="L2" s="874"/>
      <c r="M2" s="874"/>
      <c r="N2" s="874"/>
      <c r="O2" s="874"/>
      <c r="P2" s="874"/>
      <c r="Q2" s="874"/>
      <c r="R2" s="874"/>
      <c r="S2" s="874"/>
      <c r="T2" s="874"/>
      <c r="U2" s="874"/>
      <c r="V2" s="874"/>
      <c r="W2" s="874"/>
      <c r="X2" s="874"/>
      <c r="Y2" s="874"/>
      <c r="Z2" s="874"/>
      <c r="AA2" s="874"/>
      <c r="AB2" s="874"/>
      <c r="AC2" s="874"/>
      <c r="AD2" s="874"/>
      <c r="AE2" s="874"/>
      <c r="AF2" s="874"/>
      <c r="AG2" s="874"/>
      <c r="AH2" s="875"/>
    </row>
    <row r="3" spans="2:34" ht="16.5" customHeight="1">
      <c r="B3" s="12"/>
      <c r="C3" s="12"/>
      <c r="D3" s="862" t="s">
        <v>547</v>
      </c>
      <c r="E3" s="862"/>
      <c r="F3" s="863" t="s">
        <v>548</v>
      </c>
      <c r="G3" s="876" t="s">
        <v>566</v>
      </c>
      <c r="H3" s="876"/>
      <c r="I3" s="876"/>
      <c r="J3" s="876"/>
      <c r="K3" s="876"/>
      <c r="L3" s="876"/>
      <c r="M3" s="876"/>
      <c r="N3" s="876"/>
      <c r="O3" s="876"/>
      <c r="P3" s="876"/>
      <c r="Q3" s="862" t="s">
        <v>549</v>
      </c>
      <c r="R3" s="862"/>
      <c r="S3" s="862"/>
      <c r="T3" s="862"/>
      <c r="U3" s="862"/>
      <c r="V3" s="862"/>
      <c r="W3" s="862"/>
      <c r="X3" s="862"/>
      <c r="Y3" s="862"/>
      <c r="Z3" s="862"/>
      <c r="AA3" s="862" t="s">
        <v>550</v>
      </c>
      <c r="AB3" s="862"/>
      <c r="AC3" s="862"/>
      <c r="AD3" s="862"/>
      <c r="AE3" s="862"/>
      <c r="AF3" s="862"/>
      <c r="AG3" s="862"/>
      <c r="AH3" s="862"/>
    </row>
    <row r="4" spans="2:34" ht="12.75">
      <c r="B4" s="116" t="s">
        <v>631</v>
      </c>
      <c r="C4" s="116" t="s">
        <v>632</v>
      </c>
      <c r="D4" s="152" t="s">
        <v>23</v>
      </c>
      <c r="E4" s="152" t="s">
        <v>24</v>
      </c>
      <c r="F4" s="863"/>
      <c r="G4" s="152" t="s">
        <v>544</v>
      </c>
      <c r="H4" s="152" t="s">
        <v>552</v>
      </c>
      <c r="I4" s="152" t="s">
        <v>317</v>
      </c>
      <c r="J4" s="152" t="s">
        <v>545</v>
      </c>
      <c r="K4" s="152" t="s">
        <v>546</v>
      </c>
      <c r="L4" s="152"/>
      <c r="M4" s="152"/>
      <c r="N4" s="152" t="s">
        <v>659</v>
      </c>
      <c r="O4" s="152">
        <f>IF('WORK SHEET'!D97=0,0,'WORK SHEET'!E97)</f>
        <v>0</v>
      </c>
      <c r="P4" s="152" t="s">
        <v>43</v>
      </c>
      <c r="Q4" s="152" t="s">
        <v>544</v>
      </c>
      <c r="R4" s="152" t="s">
        <v>552</v>
      </c>
      <c r="S4" s="152" t="s">
        <v>553</v>
      </c>
      <c r="T4" s="152" t="s">
        <v>545</v>
      </c>
      <c r="U4" s="152" t="s">
        <v>546</v>
      </c>
      <c r="V4" s="152"/>
      <c r="W4" s="152"/>
      <c r="X4" s="152" t="s">
        <v>659</v>
      </c>
      <c r="Y4" s="152">
        <f>O4</f>
        <v>0</v>
      </c>
      <c r="Z4" s="152" t="s">
        <v>43</v>
      </c>
      <c r="AA4" s="152" t="s">
        <v>544</v>
      </c>
      <c r="AB4" s="152" t="s">
        <v>545</v>
      </c>
      <c r="AC4" s="152" t="s">
        <v>546</v>
      </c>
      <c r="AD4" s="152">
        <f>V4</f>
        <v>0</v>
      </c>
      <c r="AE4" s="152"/>
      <c r="AF4" s="152" t="str">
        <f>X4</f>
        <v>P.T</v>
      </c>
      <c r="AG4" s="152">
        <f>Y4</f>
        <v>0</v>
      </c>
      <c r="AH4" s="152" t="s">
        <v>43</v>
      </c>
    </row>
    <row r="5" spans="2:34" ht="15" customHeight="1">
      <c r="B5" s="12">
        <f>'WORK SHEET'!H278</f>
        <v>16.264</v>
      </c>
      <c r="C5" s="12">
        <f>'WORK SHEET'!J278</f>
        <v>10</v>
      </c>
      <c r="D5" s="433">
        <f>'WORK SHEET'!C278</f>
        <v>40210</v>
      </c>
      <c r="E5" s="433">
        <f>'WORK SHEET'!E278</f>
        <v>40237</v>
      </c>
      <c r="F5" s="131">
        <f>'WORK SHEET'!D278</f>
        <v>28</v>
      </c>
      <c r="G5" s="131">
        <f>'WORK SHEET'!O278</f>
        <v>12190</v>
      </c>
      <c r="H5" s="131">
        <f>'WORK SHEET'!T278</f>
        <v>0</v>
      </c>
      <c r="I5" s="131">
        <f>'WORK SHEET'!U278</f>
        <v>0</v>
      </c>
      <c r="J5" s="131">
        <f>'WORK SHEET'!R278</f>
        <v>1983</v>
      </c>
      <c r="K5" s="131">
        <f>'WORK SHEET'!S278</f>
        <v>1219</v>
      </c>
      <c r="L5" s="131"/>
      <c r="M5" s="131"/>
      <c r="N5" s="131">
        <f>IF(P5=0,0,IF(P5&lt;=6000,60,IF(P5&lt;=10000,80,IF(P5&lt;=15000,100,IF(P5&lt;=20000,150,200)))))</f>
        <v>150</v>
      </c>
      <c r="O5" s="131"/>
      <c r="P5" s="131">
        <f>IF(OR(D5=0,DAY(D5)&lt;&gt;1),0,IF(DAY(D6)&lt;&gt;1,SUM(G5:M5)+SUM(G6:M6),SUM(G5:M5)))</f>
        <v>15392</v>
      </c>
      <c r="Q5" s="131">
        <f>'WORK SHEET'!N278</f>
        <v>12190</v>
      </c>
      <c r="R5" s="131">
        <f aca="true" t="shared" si="0" ref="R5:S8">H5</f>
        <v>0</v>
      </c>
      <c r="S5" s="131">
        <f t="shared" si="0"/>
        <v>0</v>
      </c>
      <c r="T5" s="131">
        <f>'WORK SHEET'!P278</f>
        <v>1983</v>
      </c>
      <c r="U5" s="131">
        <f>'WORK SHEET'!Q278</f>
        <v>1219</v>
      </c>
      <c r="V5" s="131"/>
      <c r="W5" s="131"/>
      <c r="X5" s="131">
        <f>IF(Z5=0,0,IF(Z5&lt;=6000,60,IF(Z5&lt;=10000,80,IF(Z5&lt;=15000,100,IF(Z5&lt;=20000,150,200)))))</f>
        <v>150</v>
      </c>
      <c r="Y5" s="131"/>
      <c r="Z5" s="131">
        <f>IF(OR(D5=0,DAY(D5)&lt;&gt;1),0,IF(DAY(D6)&lt;&gt;1,SUM(Q5:W5)+SUM(Q6:W6),SUM(Q5:W5)))</f>
        <v>15392</v>
      </c>
      <c r="AA5" s="131">
        <f aca="true" t="shared" si="1" ref="AA5:AA26">G5-Q5</f>
        <v>0</v>
      </c>
      <c r="AB5" s="131">
        <f aca="true" t="shared" si="2" ref="AB5:AB26">J5-T5</f>
        <v>0</v>
      </c>
      <c r="AC5" s="131">
        <f aca="true" t="shared" si="3" ref="AC5:AC26">K5-U5</f>
        <v>0</v>
      </c>
      <c r="AD5" s="131">
        <f aca="true" t="shared" si="4" ref="AD5:AD26">L5-V5</f>
        <v>0</v>
      </c>
      <c r="AE5" s="131"/>
      <c r="AF5" s="131">
        <f aca="true" t="shared" si="5" ref="AF5:AF38">N5-X5</f>
        <v>0</v>
      </c>
      <c r="AG5" s="131">
        <f aca="true" t="shared" si="6" ref="AG5:AG26">O5-Y5</f>
        <v>0</v>
      </c>
      <c r="AH5" s="131">
        <f aca="true" t="shared" si="7" ref="AH5:AH26">P5-Z5</f>
        <v>0</v>
      </c>
    </row>
    <row r="6" spans="2:34" ht="15" customHeight="1">
      <c r="B6" s="12">
        <f>'WORK SHEET'!H279</f>
        <v>16.264</v>
      </c>
      <c r="C6" s="12">
        <f>'WORK SHEET'!J279</f>
        <v>10</v>
      </c>
      <c r="D6" s="433">
        <f>'WORK SHEET'!C279</f>
        <v>40238</v>
      </c>
      <c r="E6" s="433">
        <f>'WORK SHEET'!E279</f>
        <v>40268</v>
      </c>
      <c r="F6" s="131">
        <f>'WORK SHEET'!D279</f>
        <v>31</v>
      </c>
      <c r="G6" s="131">
        <f>'WORK SHEET'!O279</f>
        <v>12190</v>
      </c>
      <c r="H6" s="131">
        <f>'WORK SHEET'!T279</f>
        <v>0</v>
      </c>
      <c r="I6" s="131">
        <f>'WORK SHEET'!U279</f>
        <v>0</v>
      </c>
      <c r="J6" s="131">
        <f>'WORK SHEET'!R279</f>
        <v>1983</v>
      </c>
      <c r="K6" s="131">
        <f>'WORK SHEET'!S279</f>
        <v>1219</v>
      </c>
      <c r="L6" s="131"/>
      <c r="M6" s="131"/>
      <c r="N6" s="131">
        <f aca="true" t="shared" si="8" ref="N6:N37">IF(P6=0,0,IF(P6&lt;=6000,60,IF(P6&lt;=10000,80,IF(P6&lt;=15000,100,IF(P6&lt;=20000,150,200)))))</f>
        <v>150</v>
      </c>
      <c r="O6" s="131"/>
      <c r="P6" s="131">
        <f aca="true" t="shared" si="9" ref="P6:P36">IF(OR(D6=0,DAY(D6)&lt;&gt;1),0,IF(DAY(D7)&lt;&gt;1,SUM(G6:M6)+SUM(G7:M7),SUM(G6:M6)))</f>
        <v>15392</v>
      </c>
      <c r="Q6" s="131">
        <f>'WORK SHEET'!N279</f>
        <v>12190</v>
      </c>
      <c r="R6" s="131">
        <f t="shared" si="0"/>
        <v>0</v>
      </c>
      <c r="S6" s="131">
        <f t="shared" si="0"/>
        <v>0</v>
      </c>
      <c r="T6" s="131">
        <f>'WORK SHEET'!P279</f>
        <v>1983</v>
      </c>
      <c r="U6" s="131">
        <f>'WORK SHEET'!Q279</f>
        <v>1219</v>
      </c>
      <c r="V6" s="131"/>
      <c r="W6" s="131"/>
      <c r="X6" s="131">
        <f aca="true" t="shared" si="10" ref="X6:X37">IF(Z6=0,0,IF(Z6&lt;=6000,60,IF(Z6&lt;=10000,80,IF(Z6&lt;=15000,100,IF(Z6&lt;=20000,150,200)))))</f>
        <v>150</v>
      </c>
      <c r="Y6" s="131"/>
      <c r="Z6" s="131">
        <f aca="true" t="shared" si="11" ref="Z6:Z36">IF(OR(D6=0,DAY(D6)&lt;&gt;1),0,IF(DAY(D7)&lt;&gt;1,SUM(Q6:W6)+SUM(Q7:W7),SUM(Q6:W6)))</f>
        <v>15392</v>
      </c>
      <c r="AA6" s="131">
        <f t="shared" si="1"/>
        <v>0</v>
      </c>
      <c r="AB6" s="131">
        <f t="shared" si="2"/>
        <v>0</v>
      </c>
      <c r="AC6" s="131">
        <f t="shared" si="3"/>
        <v>0</v>
      </c>
      <c r="AD6" s="131">
        <f t="shared" si="4"/>
        <v>0</v>
      </c>
      <c r="AE6" s="131"/>
      <c r="AF6" s="131">
        <f t="shared" si="5"/>
        <v>0</v>
      </c>
      <c r="AG6" s="131">
        <f t="shared" si="6"/>
        <v>0</v>
      </c>
      <c r="AH6" s="131">
        <f t="shared" si="7"/>
        <v>0</v>
      </c>
    </row>
    <row r="7" spans="2:34" ht="15" customHeight="1">
      <c r="B7" s="12">
        <f>'WORK SHEET'!H280</f>
        <v>16.264</v>
      </c>
      <c r="C7" s="12">
        <f>'WORK SHEET'!J280</f>
        <v>10</v>
      </c>
      <c r="D7" s="433">
        <f>'WORK SHEET'!C280</f>
        <v>40269</v>
      </c>
      <c r="E7" s="433">
        <f>'WORK SHEET'!E280</f>
        <v>40298</v>
      </c>
      <c r="F7" s="131">
        <f>'WORK SHEET'!D280</f>
        <v>30</v>
      </c>
      <c r="G7" s="131">
        <f>'WORK SHEET'!O280</f>
        <v>12190</v>
      </c>
      <c r="H7" s="131">
        <f>'WORK SHEET'!T280</f>
        <v>0</v>
      </c>
      <c r="I7" s="131">
        <f>'WORK SHEET'!U280</f>
        <v>0</v>
      </c>
      <c r="J7" s="131">
        <f>'WORK SHEET'!R280</f>
        <v>1983</v>
      </c>
      <c r="K7" s="131">
        <f>'WORK SHEET'!S280</f>
        <v>1219</v>
      </c>
      <c r="L7" s="131"/>
      <c r="M7" s="131"/>
      <c r="N7" s="131">
        <f t="shared" si="8"/>
        <v>150</v>
      </c>
      <c r="O7" s="131"/>
      <c r="P7" s="131">
        <f t="shared" si="9"/>
        <v>15392</v>
      </c>
      <c r="Q7" s="131">
        <f>'WORK SHEET'!N280</f>
        <v>12190</v>
      </c>
      <c r="R7" s="131">
        <f t="shared" si="0"/>
        <v>0</v>
      </c>
      <c r="S7" s="131">
        <f t="shared" si="0"/>
        <v>0</v>
      </c>
      <c r="T7" s="131">
        <f>'WORK SHEET'!P280</f>
        <v>1983</v>
      </c>
      <c r="U7" s="131">
        <f>'WORK SHEET'!Q280</f>
        <v>1219</v>
      </c>
      <c r="V7" s="131"/>
      <c r="W7" s="131"/>
      <c r="X7" s="131">
        <f t="shared" si="10"/>
        <v>150</v>
      </c>
      <c r="Y7" s="131"/>
      <c r="Z7" s="131">
        <f t="shared" si="11"/>
        <v>15392</v>
      </c>
      <c r="AA7" s="131">
        <f t="shared" si="1"/>
        <v>0</v>
      </c>
      <c r="AB7" s="131">
        <f t="shared" si="2"/>
        <v>0</v>
      </c>
      <c r="AC7" s="131">
        <f t="shared" si="3"/>
        <v>0</v>
      </c>
      <c r="AD7" s="131">
        <f t="shared" si="4"/>
        <v>0</v>
      </c>
      <c r="AE7" s="131"/>
      <c r="AF7" s="131">
        <f t="shared" si="5"/>
        <v>0</v>
      </c>
      <c r="AG7" s="131">
        <f t="shared" si="6"/>
        <v>0</v>
      </c>
      <c r="AH7" s="131">
        <f t="shared" si="7"/>
        <v>0</v>
      </c>
    </row>
    <row r="8" spans="2:34" ht="15" customHeight="1">
      <c r="B8" s="12">
        <f>'WORK SHEET'!H281</f>
        <v>16.264</v>
      </c>
      <c r="C8" s="12">
        <f>'WORK SHEET'!J281</f>
        <v>10</v>
      </c>
      <c r="D8" s="433">
        <f>'WORK SHEET'!C281</f>
        <v>40299</v>
      </c>
      <c r="E8" s="433">
        <f>'WORK SHEET'!E281</f>
        <v>40329</v>
      </c>
      <c r="F8" s="131">
        <f>'WORK SHEET'!D281</f>
        <v>31</v>
      </c>
      <c r="G8" s="131">
        <f>'WORK SHEET'!O281</f>
        <v>12190</v>
      </c>
      <c r="H8" s="131">
        <f>'WORK SHEET'!T281</f>
        <v>0</v>
      </c>
      <c r="I8" s="131">
        <f>'WORK SHEET'!U281</f>
        <v>0</v>
      </c>
      <c r="J8" s="131">
        <f>'WORK SHEET'!R281</f>
        <v>1983</v>
      </c>
      <c r="K8" s="131">
        <f>'WORK SHEET'!S281</f>
        <v>1219</v>
      </c>
      <c r="L8" s="131"/>
      <c r="M8" s="131"/>
      <c r="N8" s="131">
        <f t="shared" si="8"/>
        <v>150</v>
      </c>
      <c r="O8" s="131"/>
      <c r="P8" s="131">
        <f t="shared" si="9"/>
        <v>15392</v>
      </c>
      <c r="Q8" s="131">
        <f>'WORK SHEET'!N281</f>
        <v>12190</v>
      </c>
      <c r="R8" s="131">
        <f t="shared" si="0"/>
        <v>0</v>
      </c>
      <c r="S8" s="131">
        <f t="shared" si="0"/>
        <v>0</v>
      </c>
      <c r="T8" s="131">
        <f>'WORK SHEET'!P281</f>
        <v>1983</v>
      </c>
      <c r="U8" s="131">
        <f>'WORK SHEET'!Q281</f>
        <v>1219</v>
      </c>
      <c r="V8" s="131"/>
      <c r="W8" s="131"/>
      <c r="X8" s="131">
        <f t="shared" si="10"/>
        <v>150</v>
      </c>
      <c r="Y8" s="131"/>
      <c r="Z8" s="131">
        <f t="shared" si="11"/>
        <v>15392</v>
      </c>
      <c r="AA8" s="131">
        <f t="shared" si="1"/>
        <v>0</v>
      </c>
      <c r="AB8" s="131">
        <f t="shared" si="2"/>
        <v>0</v>
      </c>
      <c r="AC8" s="131">
        <f t="shared" si="3"/>
        <v>0</v>
      </c>
      <c r="AD8" s="131">
        <f t="shared" si="4"/>
        <v>0</v>
      </c>
      <c r="AE8" s="131"/>
      <c r="AF8" s="131">
        <f t="shared" si="5"/>
        <v>0</v>
      </c>
      <c r="AG8" s="131">
        <f t="shared" si="6"/>
        <v>0</v>
      </c>
      <c r="AH8" s="131">
        <f t="shared" si="7"/>
        <v>0</v>
      </c>
    </row>
    <row r="9" spans="2:34" ht="15" customHeight="1">
      <c r="B9" s="12">
        <f>'WORK SHEET'!H282</f>
        <v>16.264</v>
      </c>
      <c r="C9" s="12">
        <f>'WORK SHEET'!J282</f>
        <v>10</v>
      </c>
      <c r="D9" s="433">
        <f>'WORK SHEET'!C282</f>
        <v>40330</v>
      </c>
      <c r="E9" s="433">
        <f>'WORK SHEET'!E282</f>
        <v>40359</v>
      </c>
      <c r="F9" s="131">
        <f>'WORK SHEET'!D282</f>
        <v>30</v>
      </c>
      <c r="G9" s="131">
        <f>'WORK SHEET'!O282</f>
        <v>12190</v>
      </c>
      <c r="H9" s="131">
        <f>'WORK SHEET'!T282</f>
        <v>0</v>
      </c>
      <c r="I9" s="131">
        <f>'WORK SHEET'!U282</f>
        <v>0</v>
      </c>
      <c r="J9" s="131">
        <f>'WORK SHEET'!R282</f>
        <v>1983</v>
      </c>
      <c r="K9" s="131">
        <f>'WORK SHEET'!S282</f>
        <v>1219</v>
      </c>
      <c r="L9" s="131"/>
      <c r="M9" s="131"/>
      <c r="N9" s="131">
        <f t="shared" si="8"/>
        <v>150</v>
      </c>
      <c r="O9" s="131"/>
      <c r="P9" s="131">
        <f t="shared" si="9"/>
        <v>15392</v>
      </c>
      <c r="Q9" s="131">
        <f>'WORK SHEET'!N282</f>
        <v>12190</v>
      </c>
      <c r="R9" s="131">
        <f aca="true" t="shared" si="12" ref="R9:R26">H9</f>
        <v>0</v>
      </c>
      <c r="S9" s="131">
        <f aca="true" t="shared" si="13" ref="S9:S26">I9</f>
        <v>0</v>
      </c>
      <c r="T9" s="131">
        <f>'WORK SHEET'!P282</f>
        <v>1983</v>
      </c>
      <c r="U9" s="131">
        <f>'WORK SHEET'!Q282</f>
        <v>1219</v>
      </c>
      <c r="V9" s="131"/>
      <c r="W9" s="131"/>
      <c r="X9" s="131">
        <f t="shared" si="10"/>
        <v>150</v>
      </c>
      <c r="Y9" s="131"/>
      <c r="Z9" s="131">
        <f t="shared" si="11"/>
        <v>15392</v>
      </c>
      <c r="AA9" s="131">
        <f t="shared" si="1"/>
        <v>0</v>
      </c>
      <c r="AB9" s="131">
        <f t="shared" si="2"/>
        <v>0</v>
      </c>
      <c r="AC9" s="131">
        <f t="shared" si="3"/>
        <v>0</v>
      </c>
      <c r="AD9" s="131">
        <f t="shared" si="4"/>
        <v>0</v>
      </c>
      <c r="AE9" s="131"/>
      <c r="AF9" s="131">
        <f t="shared" si="5"/>
        <v>0</v>
      </c>
      <c r="AG9" s="131">
        <f t="shared" si="6"/>
        <v>0</v>
      </c>
      <c r="AH9" s="131">
        <f t="shared" si="7"/>
        <v>0</v>
      </c>
    </row>
    <row r="10" spans="2:34" ht="15" customHeight="1">
      <c r="B10" s="12">
        <f>'WORK SHEET'!H283</f>
        <v>24.824</v>
      </c>
      <c r="C10" s="12">
        <f>'WORK SHEET'!J283</f>
        <v>10</v>
      </c>
      <c r="D10" s="433">
        <f>'WORK SHEET'!C283</f>
        <v>40360</v>
      </c>
      <c r="E10" s="433">
        <f>'WORK SHEET'!E283</f>
        <v>40390</v>
      </c>
      <c r="F10" s="131">
        <f>'WORK SHEET'!D283</f>
        <v>31</v>
      </c>
      <c r="G10" s="131">
        <f>'WORK SHEET'!O283</f>
        <v>12190</v>
      </c>
      <c r="H10" s="131">
        <f>'WORK SHEET'!T283</f>
        <v>0</v>
      </c>
      <c r="I10" s="131">
        <f>'WORK SHEET'!U283</f>
        <v>0</v>
      </c>
      <c r="J10" s="131">
        <f>'WORK SHEET'!R283</f>
        <v>3026</v>
      </c>
      <c r="K10" s="131">
        <f>'WORK SHEET'!S283</f>
        <v>1219</v>
      </c>
      <c r="L10" s="131"/>
      <c r="M10" s="131"/>
      <c r="N10" s="131">
        <f t="shared" si="8"/>
        <v>150</v>
      </c>
      <c r="O10" s="131"/>
      <c r="P10" s="131">
        <f t="shared" si="9"/>
        <v>16435</v>
      </c>
      <c r="Q10" s="131">
        <f>'WORK SHEET'!N283</f>
        <v>12190</v>
      </c>
      <c r="R10" s="131">
        <f t="shared" si="12"/>
        <v>0</v>
      </c>
      <c r="S10" s="131">
        <f t="shared" si="13"/>
        <v>0</v>
      </c>
      <c r="T10" s="131">
        <f>'WORK SHEET'!P283</f>
        <v>3026</v>
      </c>
      <c r="U10" s="131">
        <f>'WORK SHEET'!Q283</f>
        <v>1219</v>
      </c>
      <c r="V10" s="131"/>
      <c r="W10" s="131"/>
      <c r="X10" s="131">
        <f t="shared" si="10"/>
        <v>150</v>
      </c>
      <c r="Y10" s="131"/>
      <c r="Z10" s="131">
        <f t="shared" si="11"/>
        <v>16435</v>
      </c>
      <c r="AA10" s="131">
        <f t="shared" si="1"/>
        <v>0</v>
      </c>
      <c r="AB10" s="131">
        <f t="shared" si="2"/>
        <v>0</v>
      </c>
      <c r="AC10" s="131">
        <f t="shared" si="3"/>
        <v>0</v>
      </c>
      <c r="AD10" s="131">
        <f t="shared" si="4"/>
        <v>0</v>
      </c>
      <c r="AE10" s="131"/>
      <c r="AF10" s="131">
        <f t="shared" si="5"/>
        <v>0</v>
      </c>
      <c r="AG10" s="131">
        <f t="shared" si="6"/>
        <v>0</v>
      </c>
      <c r="AH10" s="131">
        <f t="shared" si="7"/>
        <v>0</v>
      </c>
    </row>
    <row r="11" spans="2:34" ht="15" customHeight="1">
      <c r="B11" s="12">
        <f>'WORK SHEET'!H284</f>
        <v>24.824</v>
      </c>
      <c r="C11" s="12">
        <f>'WORK SHEET'!J284</f>
        <v>10</v>
      </c>
      <c r="D11" s="433">
        <f>'WORK SHEET'!C284</f>
        <v>40391</v>
      </c>
      <c r="E11" s="433">
        <f>'WORK SHEET'!E284</f>
        <v>40421</v>
      </c>
      <c r="F11" s="131">
        <f>'WORK SHEET'!D284</f>
        <v>31</v>
      </c>
      <c r="G11" s="131">
        <f>'WORK SHEET'!O284</f>
        <v>12190</v>
      </c>
      <c r="H11" s="131">
        <f>'WORK SHEET'!T284</f>
        <v>0</v>
      </c>
      <c r="I11" s="131">
        <f>'WORK SHEET'!U284</f>
        <v>0</v>
      </c>
      <c r="J11" s="131">
        <f>'WORK SHEET'!R284</f>
        <v>3026</v>
      </c>
      <c r="K11" s="131">
        <f>'WORK SHEET'!S284</f>
        <v>1219</v>
      </c>
      <c r="L11" s="131"/>
      <c r="M11" s="131"/>
      <c r="N11" s="131">
        <f t="shared" si="8"/>
        <v>150</v>
      </c>
      <c r="O11" s="131"/>
      <c r="P11" s="131">
        <f t="shared" si="9"/>
        <v>16435</v>
      </c>
      <c r="Q11" s="131">
        <f>'WORK SHEET'!N284</f>
        <v>12190</v>
      </c>
      <c r="R11" s="131">
        <f t="shared" si="12"/>
        <v>0</v>
      </c>
      <c r="S11" s="131">
        <f t="shared" si="13"/>
        <v>0</v>
      </c>
      <c r="T11" s="131">
        <f>'WORK SHEET'!P284</f>
        <v>3026</v>
      </c>
      <c r="U11" s="131">
        <f>'WORK SHEET'!Q284</f>
        <v>1219</v>
      </c>
      <c r="V11" s="131"/>
      <c r="W11" s="131"/>
      <c r="X11" s="131">
        <f t="shared" si="10"/>
        <v>150</v>
      </c>
      <c r="Y11" s="131"/>
      <c r="Z11" s="131">
        <f t="shared" si="11"/>
        <v>16435</v>
      </c>
      <c r="AA11" s="131">
        <f t="shared" si="1"/>
        <v>0</v>
      </c>
      <c r="AB11" s="131">
        <f t="shared" si="2"/>
        <v>0</v>
      </c>
      <c r="AC11" s="131">
        <f t="shared" si="3"/>
        <v>0</v>
      </c>
      <c r="AD11" s="131">
        <f t="shared" si="4"/>
        <v>0</v>
      </c>
      <c r="AE11" s="131"/>
      <c r="AF11" s="131">
        <f t="shared" si="5"/>
        <v>0</v>
      </c>
      <c r="AG11" s="131">
        <f t="shared" si="6"/>
        <v>0</v>
      </c>
      <c r="AH11" s="131">
        <f t="shared" si="7"/>
        <v>0</v>
      </c>
    </row>
    <row r="12" spans="2:34" ht="15" customHeight="1">
      <c r="B12" s="12">
        <f>'WORK SHEET'!H285</f>
        <v>24.824</v>
      </c>
      <c r="C12" s="12">
        <f>'WORK SHEET'!J285</f>
        <v>10</v>
      </c>
      <c r="D12" s="433">
        <f>'WORK SHEET'!C285</f>
        <v>40422</v>
      </c>
      <c r="E12" s="433">
        <f>'WORK SHEET'!E285</f>
        <v>40451</v>
      </c>
      <c r="F12" s="131">
        <f>'WORK SHEET'!D285</f>
        <v>30</v>
      </c>
      <c r="G12" s="131">
        <f>'WORK SHEET'!O285</f>
        <v>12190</v>
      </c>
      <c r="H12" s="131">
        <f>'WORK SHEET'!T285</f>
        <v>0</v>
      </c>
      <c r="I12" s="131">
        <f>'WORK SHEET'!U285</f>
        <v>0</v>
      </c>
      <c r="J12" s="131">
        <f>'WORK SHEET'!R285</f>
        <v>3026</v>
      </c>
      <c r="K12" s="131">
        <f>'WORK SHEET'!S285</f>
        <v>1219</v>
      </c>
      <c r="L12" s="131"/>
      <c r="M12" s="131"/>
      <c r="N12" s="131">
        <f t="shared" si="8"/>
        <v>150</v>
      </c>
      <c r="O12" s="131"/>
      <c r="P12" s="131">
        <f t="shared" si="9"/>
        <v>16435</v>
      </c>
      <c r="Q12" s="131">
        <f>'WORK SHEET'!N285</f>
        <v>12190</v>
      </c>
      <c r="R12" s="131">
        <f t="shared" si="12"/>
        <v>0</v>
      </c>
      <c r="S12" s="131">
        <f t="shared" si="13"/>
        <v>0</v>
      </c>
      <c r="T12" s="131">
        <f>'WORK SHEET'!P285</f>
        <v>3026</v>
      </c>
      <c r="U12" s="131">
        <f>'WORK SHEET'!Q285</f>
        <v>1219</v>
      </c>
      <c r="V12" s="131"/>
      <c r="W12" s="131"/>
      <c r="X12" s="131">
        <f t="shared" si="10"/>
        <v>150</v>
      </c>
      <c r="Y12" s="131"/>
      <c r="Z12" s="131">
        <f t="shared" si="11"/>
        <v>16435</v>
      </c>
      <c r="AA12" s="131">
        <f t="shared" si="1"/>
        <v>0</v>
      </c>
      <c r="AB12" s="131">
        <f t="shared" si="2"/>
        <v>0</v>
      </c>
      <c r="AC12" s="131">
        <f t="shared" si="3"/>
        <v>0</v>
      </c>
      <c r="AD12" s="131">
        <f t="shared" si="4"/>
        <v>0</v>
      </c>
      <c r="AE12" s="131"/>
      <c r="AF12" s="131">
        <f t="shared" si="5"/>
        <v>0</v>
      </c>
      <c r="AG12" s="131">
        <f t="shared" si="6"/>
        <v>0</v>
      </c>
      <c r="AH12" s="131">
        <f t="shared" si="7"/>
        <v>0</v>
      </c>
    </row>
    <row r="13" spans="2:34" ht="15" customHeight="1">
      <c r="B13" s="12">
        <f>'WORK SHEET'!H286</f>
        <v>24.824</v>
      </c>
      <c r="C13" s="12">
        <f>'WORK SHEET'!J286</f>
        <v>10</v>
      </c>
      <c r="D13" s="433">
        <f>'WORK SHEET'!C286</f>
        <v>40452</v>
      </c>
      <c r="E13" s="433">
        <f>'WORK SHEET'!E286</f>
        <v>40482</v>
      </c>
      <c r="F13" s="131">
        <f>'WORK SHEET'!D286</f>
        <v>31</v>
      </c>
      <c r="G13" s="131">
        <f>'WORK SHEET'!O286</f>
        <v>12550</v>
      </c>
      <c r="H13" s="131">
        <f>'WORK SHEET'!T286</f>
        <v>0</v>
      </c>
      <c r="I13" s="131">
        <f>'WORK SHEET'!U286</f>
        <v>0</v>
      </c>
      <c r="J13" s="131">
        <f>'WORK SHEET'!R286</f>
        <v>3115</v>
      </c>
      <c r="K13" s="131">
        <f>'WORK SHEET'!S286</f>
        <v>1255</v>
      </c>
      <c r="L13" s="131"/>
      <c r="M13" s="131"/>
      <c r="N13" s="131">
        <f t="shared" si="8"/>
        <v>150</v>
      </c>
      <c r="O13" s="131"/>
      <c r="P13" s="131">
        <f t="shared" si="9"/>
        <v>16920</v>
      </c>
      <c r="Q13" s="131">
        <f>'WORK SHEET'!N286</f>
        <v>12550</v>
      </c>
      <c r="R13" s="131">
        <f t="shared" si="12"/>
        <v>0</v>
      </c>
      <c r="S13" s="131">
        <f t="shared" si="13"/>
        <v>0</v>
      </c>
      <c r="T13" s="131">
        <f>'WORK SHEET'!P286</f>
        <v>3115</v>
      </c>
      <c r="U13" s="131">
        <f>'WORK SHEET'!Q286</f>
        <v>1255</v>
      </c>
      <c r="V13" s="131"/>
      <c r="W13" s="131"/>
      <c r="X13" s="131">
        <f t="shared" si="10"/>
        <v>150</v>
      </c>
      <c r="Y13" s="131"/>
      <c r="Z13" s="131">
        <f t="shared" si="11"/>
        <v>16920</v>
      </c>
      <c r="AA13" s="131">
        <f t="shared" si="1"/>
        <v>0</v>
      </c>
      <c r="AB13" s="131">
        <f t="shared" si="2"/>
        <v>0</v>
      </c>
      <c r="AC13" s="131">
        <f t="shared" si="3"/>
        <v>0</v>
      </c>
      <c r="AD13" s="131">
        <f t="shared" si="4"/>
        <v>0</v>
      </c>
      <c r="AE13" s="131"/>
      <c r="AF13" s="131">
        <f t="shared" si="5"/>
        <v>0</v>
      </c>
      <c r="AG13" s="131">
        <f t="shared" si="6"/>
        <v>0</v>
      </c>
      <c r="AH13" s="131">
        <f t="shared" si="7"/>
        <v>0</v>
      </c>
    </row>
    <row r="14" spans="2:34" ht="15" customHeight="1">
      <c r="B14" s="12">
        <f>'WORK SHEET'!H287</f>
        <v>24.824</v>
      </c>
      <c r="C14" s="12">
        <f>'WORK SHEET'!J287</f>
        <v>10</v>
      </c>
      <c r="D14" s="433">
        <f>'WORK SHEET'!C287</f>
        <v>40483</v>
      </c>
      <c r="E14" s="433">
        <f>'WORK SHEET'!E287</f>
        <v>40512</v>
      </c>
      <c r="F14" s="131">
        <f>'WORK SHEET'!D287</f>
        <v>30</v>
      </c>
      <c r="G14" s="131">
        <f>'WORK SHEET'!O287</f>
        <v>12550</v>
      </c>
      <c r="H14" s="131">
        <f>'WORK SHEET'!T287</f>
        <v>0</v>
      </c>
      <c r="I14" s="131">
        <f>'WORK SHEET'!U287</f>
        <v>0</v>
      </c>
      <c r="J14" s="131">
        <f>'WORK SHEET'!R287</f>
        <v>3115</v>
      </c>
      <c r="K14" s="131">
        <f>'WORK SHEET'!S287</f>
        <v>1255</v>
      </c>
      <c r="L14" s="131"/>
      <c r="M14" s="131"/>
      <c r="N14" s="131">
        <f t="shared" si="8"/>
        <v>150</v>
      </c>
      <c r="O14" s="131"/>
      <c r="P14" s="131">
        <f t="shared" si="9"/>
        <v>16920</v>
      </c>
      <c r="Q14" s="131">
        <f>'WORK SHEET'!N287</f>
        <v>12550</v>
      </c>
      <c r="R14" s="131">
        <f t="shared" si="12"/>
        <v>0</v>
      </c>
      <c r="S14" s="131">
        <f t="shared" si="13"/>
        <v>0</v>
      </c>
      <c r="T14" s="131">
        <f>'WORK SHEET'!P287</f>
        <v>3115</v>
      </c>
      <c r="U14" s="131">
        <f>'WORK SHEET'!Q287</f>
        <v>1255</v>
      </c>
      <c r="V14" s="131"/>
      <c r="W14" s="131"/>
      <c r="X14" s="131">
        <f t="shared" si="10"/>
        <v>150</v>
      </c>
      <c r="Y14" s="131"/>
      <c r="Z14" s="131">
        <f t="shared" si="11"/>
        <v>16920</v>
      </c>
      <c r="AA14" s="131">
        <f t="shared" si="1"/>
        <v>0</v>
      </c>
      <c r="AB14" s="131">
        <f t="shared" si="2"/>
        <v>0</v>
      </c>
      <c r="AC14" s="131">
        <f t="shared" si="3"/>
        <v>0</v>
      </c>
      <c r="AD14" s="131">
        <f t="shared" si="4"/>
        <v>0</v>
      </c>
      <c r="AE14" s="131"/>
      <c r="AF14" s="131">
        <f t="shared" si="5"/>
        <v>0</v>
      </c>
      <c r="AG14" s="131">
        <f t="shared" si="6"/>
        <v>0</v>
      </c>
      <c r="AH14" s="131">
        <f t="shared" si="7"/>
        <v>0</v>
      </c>
    </row>
    <row r="15" spans="2:34" ht="15" customHeight="1">
      <c r="B15" s="12">
        <f>'WORK SHEET'!H288</f>
        <v>24.824</v>
      </c>
      <c r="C15" s="12">
        <f>'WORK SHEET'!J288</f>
        <v>10</v>
      </c>
      <c r="D15" s="433">
        <f>'WORK SHEET'!C288</f>
        <v>40513</v>
      </c>
      <c r="E15" s="433">
        <f>'WORK SHEET'!E288</f>
        <v>40543</v>
      </c>
      <c r="F15" s="131">
        <f>'WORK SHEET'!D288</f>
        <v>31</v>
      </c>
      <c r="G15" s="131">
        <f>'WORK SHEET'!O288</f>
        <v>12550</v>
      </c>
      <c r="H15" s="131">
        <f>'WORK SHEET'!T288</f>
        <v>0</v>
      </c>
      <c r="I15" s="131">
        <f>'WORK SHEET'!U288</f>
        <v>0</v>
      </c>
      <c r="J15" s="131">
        <f>'WORK SHEET'!R288</f>
        <v>3115</v>
      </c>
      <c r="K15" s="131">
        <f>'WORK SHEET'!S288</f>
        <v>1255</v>
      </c>
      <c r="L15" s="131"/>
      <c r="M15" s="131"/>
      <c r="N15" s="131">
        <f t="shared" si="8"/>
        <v>150</v>
      </c>
      <c r="O15" s="131"/>
      <c r="P15" s="131">
        <f t="shared" si="9"/>
        <v>16920</v>
      </c>
      <c r="Q15" s="131">
        <f>'WORK SHEET'!N288</f>
        <v>12550</v>
      </c>
      <c r="R15" s="131">
        <f t="shared" si="12"/>
        <v>0</v>
      </c>
      <c r="S15" s="131">
        <f t="shared" si="13"/>
        <v>0</v>
      </c>
      <c r="T15" s="131">
        <f>'WORK SHEET'!P288</f>
        <v>3115</v>
      </c>
      <c r="U15" s="131">
        <f>'WORK SHEET'!Q288</f>
        <v>1255</v>
      </c>
      <c r="V15" s="131"/>
      <c r="W15" s="131"/>
      <c r="X15" s="131">
        <f t="shared" si="10"/>
        <v>150</v>
      </c>
      <c r="Y15" s="131"/>
      <c r="Z15" s="131">
        <f t="shared" si="11"/>
        <v>16920</v>
      </c>
      <c r="AA15" s="131">
        <f t="shared" si="1"/>
        <v>0</v>
      </c>
      <c r="AB15" s="131">
        <f t="shared" si="2"/>
        <v>0</v>
      </c>
      <c r="AC15" s="131">
        <f t="shared" si="3"/>
        <v>0</v>
      </c>
      <c r="AD15" s="131">
        <f t="shared" si="4"/>
        <v>0</v>
      </c>
      <c r="AE15" s="131"/>
      <c r="AF15" s="131">
        <f t="shared" si="5"/>
        <v>0</v>
      </c>
      <c r="AG15" s="131">
        <f t="shared" si="6"/>
        <v>0</v>
      </c>
      <c r="AH15" s="131">
        <f t="shared" si="7"/>
        <v>0</v>
      </c>
    </row>
    <row r="16" spans="2:34" ht="15" customHeight="1">
      <c r="B16" s="12">
        <f>'WORK SHEET'!H289</f>
        <v>29.96</v>
      </c>
      <c r="C16" s="12">
        <f>'WORK SHEET'!J289</f>
        <v>10</v>
      </c>
      <c r="D16" s="433">
        <f>'WORK SHEET'!C289</f>
        <v>40544</v>
      </c>
      <c r="E16" s="433">
        <f>'WORK SHEET'!E289</f>
        <v>40574</v>
      </c>
      <c r="F16" s="131">
        <f>'WORK SHEET'!D289</f>
        <v>31</v>
      </c>
      <c r="G16" s="131">
        <f>'WORK SHEET'!O289</f>
        <v>12550</v>
      </c>
      <c r="H16" s="131">
        <f>'WORK SHEET'!T289</f>
        <v>0</v>
      </c>
      <c r="I16" s="131">
        <f>'WORK SHEET'!U289</f>
        <v>0</v>
      </c>
      <c r="J16" s="131">
        <f>'WORK SHEET'!R289</f>
        <v>3760</v>
      </c>
      <c r="K16" s="131">
        <f>'WORK SHEET'!S289</f>
        <v>1255</v>
      </c>
      <c r="L16" s="131"/>
      <c r="M16" s="131"/>
      <c r="N16" s="131">
        <f t="shared" si="8"/>
        <v>150</v>
      </c>
      <c r="O16" s="131"/>
      <c r="P16" s="131">
        <f t="shared" si="9"/>
        <v>17565</v>
      </c>
      <c r="Q16" s="131">
        <f>'WORK SHEET'!N289</f>
        <v>12550</v>
      </c>
      <c r="R16" s="131">
        <f t="shared" si="12"/>
        <v>0</v>
      </c>
      <c r="S16" s="131">
        <f t="shared" si="13"/>
        <v>0</v>
      </c>
      <c r="T16" s="131">
        <f>'WORK SHEET'!P289</f>
        <v>3760</v>
      </c>
      <c r="U16" s="131">
        <f>'WORK SHEET'!Q289</f>
        <v>1255</v>
      </c>
      <c r="V16" s="131"/>
      <c r="W16" s="131"/>
      <c r="X16" s="131">
        <f t="shared" si="10"/>
        <v>150</v>
      </c>
      <c r="Y16" s="131"/>
      <c r="Z16" s="131">
        <f t="shared" si="11"/>
        <v>17565</v>
      </c>
      <c r="AA16" s="131">
        <f t="shared" si="1"/>
        <v>0</v>
      </c>
      <c r="AB16" s="131">
        <f t="shared" si="2"/>
        <v>0</v>
      </c>
      <c r="AC16" s="131">
        <f t="shared" si="3"/>
        <v>0</v>
      </c>
      <c r="AD16" s="131">
        <f t="shared" si="4"/>
        <v>0</v>
      </c>
      <c r="AE16" s="131"/>
      <c r="AF16" s="131">
        <f t="shared" si="5"/>
        <v>0</v>
      </c>
      <c r="AG16" s="131">
        <f t="shared" si="6"/>
        <v>0</v>
      </c>
      <c r="AH16" s="131">
        <f t="shared" si="7"/>
        <v>0</v>
      </c>
    </row>
    <row r="17" spans="2:34" ht="15" customHeight="1">
      <c r="B17" s="12">
        <f>'WORK SHEET'!H290</f>
        <v>29.96</v>
      </c>
      <c r="C17" s="12">
        <f>'WORK SHEET'!J290</f>
        <v>10</v>
      </c>
      <c r="D17" s="433">
        <f>'WORK SHEET'!C290</f>
        <v>40575</v>
      </c>
      <c r="E17" s="433">
        <f>'WORK SHEET'!E290</f>
        <v>40602</v>
      </c>
      <c r="F17" s="131">
        <f>'WORK SHEET'!D290</f>
        <v>28</v>
      </c>
      <c r="G17" s="131">
        <f>'WORK SHEET'!O290</f>
        <v>12550</v>
      </c>
      <c r="H17" s="131">
        <f>'WORK SHEET'!T290</f>
        <v>0</v>
      </c>
      <c r="I17" s="131">
        <f>'WORK SHEET'!U290</f>
        <v>0</v>
      </c>
      <c r="J17" s="131">
        <f>'WORK SHEET'!R290</f>
        <v>3760</v>
      </c>
      <c r="K17" s="131">
        <f>'WORK SHEET'!S290</f>
        <v>1255</v>
      </c>
      <c r="L17" s="131"/>
      <c r="M17" s="131"/>
      <c r="N17" s="131">
        <f t="shared" si="8"/>
        <v>150</v>
      </c>
      <c r="O17" s="131"/>
      <c r="P17" s="131">
        <f t="shared" si="9"/>
        <v>17565</v>
      </c>
      <c r="Q17" s="131">
        <f>'WORK SHEET'!N290</f>
        <v>12550</v>
      </c>
      <c r="R17" s="131">
        <f t="shared" si="12"/>
        <v>0</v>
      </c>
      <c r="S17" s="131">
        <f t="shared" si="13"/>
        <v>0</v>
      </c>
      <c r="T17" s="131">
        <f>'WORK SHEET'!P290</f>
        <v>3760</v>
      </c>
      <c r="U17" s="131">
        <f>'WORK SHEET'!Q290</f>
        <v>1255</v>
      </c>
      <c r="V17" s="131"/>
      <c r="W17" s="131"/>
      <c r="X17" s="131">
        <f t="shared" si="10"/>
        <v>150</v>
      </c>
      <c r="Y17" s="131"/>
      <c r="Z17" s="131">
        <f t="shared" si="11"/>
        <v>17565</v>
      </c>
      <c r="AA17" s="131">
        <f t="shared" si="1"/>
        <v>0</v>
      </c>
      <c r="AB17" s="131">
        <f t="shared" si="2"/>
        <v>0</v>
      </c>
      <c r="AC17" s="131">
        <f t="shared" si="3"/>
        <v>0</v>
      </c>
      <c r="AD17" s="131">
        <f t="shared" si="4"/>
        <v>0</v>
      </c>
      <c r="AE17" s="131"/>
      <c r="AF17" s="131">
        <f t="shared" si="5"/>
        <v>0</v>
      </c>
      <c r="AG17" s="131">
        <f t="shared" si="6"/>
        <v>0</v>
      </c>
      <c r="AH17" s="131">
        <f t="shared" si="7"/>
        <v>0</v>
      </c>
    </row>
    <row r="18" spans="2:34" ht="15" customHeight="1">
      <c r="B18" s="12">
        <f>'WORK SHEET'!H291</f>
        <v>29.96</v>
      </c>
      <c r="C18" s="12">
        <f>'WORK SHEET'!J291</f>
        <v>10</v>
      </c>
      <c r="D18" s="433">
        <f>'WORK SHEET'!C291</f>
        <v>40603</v>
      </c>
      <c r="E18" s="433">
        <f>'WORK SHEET'!E291</f>
        <v>40627.01</v>
      </c>
      <c r="F18" s="131">
        <f>'WORK SHEET'!D291</f>
        <v>25</v>
      </c>
      <c r="G18" s="131">
        <f>'WORK SHEET'!O291</f>
        <v>10121</v>
      </c>
      <c r="H18" s="131">
        <f>'WORK SHEET'!T291</f>
        <v>0</v>
      </c>
      <c r="I18" s="131">
        <f>'WORK SHEET'!U291</f>
        <v>0</v>
      </c>
      <c r="J18" s="131">
        <f>'WORK SHEET'!R291</f>
        <v>3032</v>
      </c>
      <c r="K18" s="131">
        <f>'WORK SHEET'!S291</f>
        <v>1012</v>
      </c>
      <c r="L18" s="131"/>
      <c r="M18" s="131"/>
      <c r="N18" s="131">
        <f t="shared" si="8"/>
        <v>150</v>
      </c>
      <c r="O18" s="131"/>
      <c r="P18" s="131">
        <f t="shared" si="9"/>
        <v>17663</v>
      </c>
      <c r="Q18" s="131">
        <f>'WORK SHEET'!N291</f>
        <v>10121</v>
      </c>
      <c r="R18" s="131">
        <f t="shared" si="12"/>
        <v>0</v>
      </c>
      <c r="S18" s="131">
        <f t="shared" si="13"/>
        <v>0</v>
      </c>
      <c r="T18" s="131">
        <f>'WORK SHEET'!P291</f>
        <v>3032</v>
      </c>
      <c r="U18" s="131">
        <f>'WORK SHEET'!Q291</f>
        <v>1012</v>
      </c>
      <c r="V18" s="131"/>
      <c r="W18" s="131"/>
      <c r="X18" s="131">
        <f t="shared" si="10"/>
        <v>150</v>
      </c>
      <c r="Y18" s="131"/>
      <c r="Z18" s="131">
        <f t="shared" si="11"/>
        <v>17663</v>
      </c>
      <c r="AA18" s="131">
        <f t="shared" si="1"/>
        <v>0</v>
      </c>
      <c r="AB18" s="131">
        <f t="shared" si="2"/>
        <v>0</v>
      </c>
      <c r="AC18" s="131">
        <f t="shared" si="3"/>
        <v>0</v>
      </c>
      <c r="AD18" s="131">
        <f t="shared" si="4"/>
        <v>0</v>
      </c>
      <c r="AE18" s="131"/>
      <c r="AF18" s="131">
        <f t="shared" si="5"/>
        <v>0</v>
      </c>
      <c r="AG18" s="131">
        <f t="shared" si="6"/>
        <v>0</v>
      </c>
      <c r="AH18" s="131">
        <f t="shared" si="7"/>
        <v>0</v>
      </c>
    </row>
    <row r="19" spans="2:34" ht="15" customHeight="1">
      <c r="B19" s="12">
        <f>'WORK SHEET'!H292</f>
        <v>29.96</v>
      </c>
      <c r="C19" s="12">
        <f>'WORK SHEET'!J292</f>
        <v>10</v>
      </c>
      <c r="D19" s="433">
        <f>'WORK SHEET'!C292</f>
        <v>40628.01</v>
      </c>
      <c r="E19" s="433">
        <f>'WORK SHEET'!E292</f>
        <v>40633</v>
      </c>
      <c r="F19" s="131">
        <f>'WORK SHEET'!D292</f>
        <v>6</v>
      </c>
      <c r="G19" s="131">
        <f>'WORK SHEET'!O292</f>
        <v>2499</v>
      </c>
      <c r="H19" s="131">
        <f>'WORK SHEET'!T292</f>
        <v>0</v>
      </c>
      <c r="I19" s="131">
        <f>'WORK SHEET'!U292</f>
        <v>0</v>
      </c>
      <c r="J19" s="131">
        <f>'WORK SHEET'!R292</f>
        <v>749</v>
      </c>
      <c r="K19" s="131">
        <f>'WORK SHEET'!S292</f>
        <v>250</v>
      </c>
      <c r="L19" s="131"/>
      <c r="M19" s="131"/>
      <c r="N19" s="131">
        <f t="shared" si="8"/>
        <v>0</v>
      </c>
      <c r="O19" s="131"/>
      <c r="P19" s="131">
        <f t="shared" si="9"/>
        <v>0</v>
      </c>
      <c r="Q19" s="131">
        <f>'WORK SHEET'!N292</f>
        <v>2499</v>
      </c>
      <c r="R19" s="131">
        <f t="shared" si="12"/>
        <v>0</v>
      </c>
      <c r="S19" s="131">
        <f t="shared" si="13"/>
        <v>0</v>
      </c>
      <c r="T19" s="131">
        <f>'WORK SHEET'!P292</f>
        <v>749</v>
      </c>
      <c r="U19" s="131">
        <f>'WORK SHEET'!Q292</f>
        <v>250</v>
      </c>
      <c r="V19" s="131"/>
      <c r="W19" s="131"/>
      <c r="X19" s="131">
        <f t="shared" si="10"/>
        <v>0</v>
      </c>
      <c r="Y19" s="131"/>
      <c r="Z19" s="131">
        <f t="shared" si="11"/>
        <v>0</v>
      </c>
      <c r="AA19" s="131">
        <f t="shared" si="1"/>
        <v>0</v>
      </c>
      <c r="AB19" s="131">
        <f t="shared" si="2"/>
        <v>0</v>
      </c>
      <c r="AC19" s="131">
        <f t="shared" si="3"/>
        <v>0</v>
      </c>
      <c r="AD19" s="131">
        <f t="shared" si="4"/>
        <v>0</v>
      </c>
      <c r="AE19" s="131"/>
      <c r="AF19" s="131">
        <f t="shared" si="5"/>
        <v>0</v>
      </c>
      <c r="AG19" s="131">
        <f t="shared" si="6"/>
        <v>0</v>
      </c>
      <c r="AH19" s="131">
        <f t="shared" si="7"/>
        <v>0</v>
      </c>
    </row>
    <row r="20" spans="2:34" ht="15" customHeight="1">
      <c r="B20" s="12">
        <f>'WORK SHEET'!H293</f>
        <v>29.96</v>
      </c>
      <c r="C20" s="12">
        <f>'WORK SHEET'!J293</f>
        <v>12</v>
      </c>
      <c r="D20" s="433">
        <f>'WORK SHEET'!C293</f>
        <v>40634</v>
      </c>
      <c r="E20" s="433">
        <f>'WORK SHEET'!E293</f>
        <v>40663</v>
      </c>
      <c r="F20" s="131">
        <f>'WORK SHEET'!D293</f>
        <v>30</v>
      </c>
      <c r="G20" s="131">
        <f>'WORK SHEET'!O293</f>
        <v>12910</v>
      </c>
      <c r="H20" s="131">
        <f>'WORK SHEET'!T293</f>
        <v>0</v>
      </c>
      <c r="I20" s="131">
        <f>'WORK SHEET'!U293</f>
        <v>0</v>
      </c>
      <c r="J20" s="131">
        <f>'WORK SHEET'!R293</f>
        <v>3868</v>
      </c>
      <c r="K20" s="131">
        <f>'WORK SHEET'!S293</f>
        <v>1549</v>
      </c>
      <c r="L20" s="131"/>
      <c r="M20" s="131"/>
      <c r="N20" s="131">
        <f t="shared" si="8"/>
        <v>150</v>
      </c>
      <c r="O20" s="131"/>
      <c r="P20" s="131">
        <f t="shared" si="9"/>
        <v>18327</v>
      </c>
      <c r="Q20" s="131">
        <f>'WORK SHEET'!N293</f>
        <v>12910</v>
      </c>
      <c r="R20" s="131">
        <f t="shared" si="12"/>
        <v>0</v>
      </c>
      <c r="S20" s="131">
        <f t="shared" si="13"/>
        <v>0</v>
      </c>
      <c r="T20" s="131">
        <f>'WORK SHEET'!P293</f>
        <v>3868</v>
      </c>
      <c r="U20" s="131">
        <f>'WORK SHEET'!Q293</f>
        <v>1549</v>
      </c>
      <c r="V20" s="131"/>
      <c r="W20" s="131"/>
      <c r="X20" s="131">
        <f t="shared" si="10"/>
        <v>150</v>
      </c>
      <c r="Y20" s="131"/>
      <c r="Z20" s="131">
        <f t="shared" si="11"/>
        <v>18327</v>
      </c>
      <c r="AA20" s="131">
        <f t="shared" si="1"/>
        <v>0</v>
      </c>
      <c r="AB20" s="131">
        <f t="shared" si="2"/>
        <v>0</v>
      </c>
      <c r="AC20" s="131">
        <f t="shared" si="3"/>
        <v>0</v>
      </c>
      <c r="AD20" s="131">
        <f t="shared" si="4"/>
        <v>0</v>
      </c>
      <c r="AE20" s="131"/>
      <c r="AF20" s="131">
        <f t="shared" si="5"/>
        <v>0</v>
      </c>
      <c r="AG20" s="131">
        <f t="shared" si="6"/>
        <v>0</v>
      </c>
      <c r="AH20" s="131">
        <f t="shared" si="7"/>
        <v>0</v>
      </c>
    </row>
    <row r="21" spans="2:34" ht="15" customHeight="1" hidden="1">
      <c r="B21" s="12">
        <f>'WORK SHEET'!H294</f>
        <v>29.96</v>
      </c>
      <c r="C21" s="12">
        <f>'WORK SHEET'!J294</f>
        <v>12</v>
      </c>
      <c r="D21" s="433">
        <f>'WORK SHEET'!C294</f>
        <v>40664</v>
      </c>
      <c r="E21" s="433">
        <f>'WORK SHEET'!E294</f>
        <v>40694</v>
      </c>
      <c r="F21" s="131">
        <f>'WORK SHEET'!D294</f>
        <v>31</v>
      </c>
      <c r="G21" s="131">
        <f>'WORK SHEET'!O294</f>
        <v>12910</v>
      </c>
      <c r="H21" s="131">
        <f>'WORK SHEET'!T294</f>
        <v>0</v>
      </c>
      <c r="I21" s="131">
        <f>'WORK SHEET'!U294</f>
        <v>0</v>
      </c>
      <c r="J21" s="131">
        <f>'WORK SHEET'!R294</f>
        <v>3868</v>
      </c>
      <c r="K21" s="131">
        <f>'WORK SHEET'!S294</f>
        <v>1549</v>
      </c>
      <c r="L21" s="131"/>
      <c r="M21" s="131"/>
      <c r="N21" s="131">
        <f t="shared" si="8"/>
        <v>150</v>
      </c>
      <c r="O21" s="131"/>
      <c r="P21" s="131">
        <f t="shared" si="9"/>
        <v>18327</v>
      </c>
      <c r="Q21" s="131">
        <f>'WORK SHEET'!N294</f>
        <v>12910</v>
      </c>
      <c r="R21" s="131">
        <f t="shared" si="12"/>
        <v>0</v>
      </c>
      <c r="S21" s="131">
        <f t="shared" si="13"/>
        <v>0</v>
      </c>
      <c r="T21" s="131">
        <f>'WORK SHEET'!P294</f>
        <v>3868</v>
      </c>
      <c r="U21" s="131">
        <f>'WORK SHEET'!Q294</f>
        <v>1549</v>
      </c>
      <c r="V21" s="131"/>
      <c r="W21" s="131"/>
      <c r="X21" s="131">
        <f t="shared" si="10"/>
        <v>150</v>
      </c>
      <c r="Y21" s="131"/>
      <c r="Z21" s="131">
        <f t="shared" si="11"/>
        <v>18327</v>
      </c>
      <c r="AA21" s="131">
        <f t="shared" si="1"/>
        <v>0</v>
      </c>
      <c r="AB21" s="131">
        <f t="shared" si="2"/>
        <v>0</v>
      </c>
      <c r="AC21" s="131">
        <f t="shared" si="3"/>
        <v>0</v>
      </c>
      <c r="AD21" s="131">
        <f t="shared" si="4"/>
        <v>0</v>
      </c>
      <c r="AE21" s="131"/>
      <c r="AF21" s="131">
        <f t="shared" si="5"/>
        <v>0</v>
      </c>
      <c r="AG21" s="131">
        <f t="shared" si="6"/>
        <v>0</v>
      </c>
      <c r="AH21" s="131">
        <f t="shared" si="7"/>
        <v>0</v>
      </c>
    </row>
    <row r="22" spans="2:34" ht="16.5" customHeight="1" hidden="1">
      <c r="B22" s="12">
        <f>'WORK SHEET'!H295</f>
        <v>0</v>
      </c>
      <c r="C22" s="12">
        <f>'WORK SHEET'!J295</f>
        <v>0</v>
      </c>
      <c r="D22" s="433">
        <f>'WORK SHEET'!C295</f>
        <v>0</v>
      </c>
      <c r="E22" s="433">
        <f>'WORK SHEET'!E295</f>
        <v>0</v>
      </c>
      <c r="F22" s="131">
        <f>'WORK SHEET'!D295</f>
        <v>0</v>
      </c>
      <c r="G22" s="131">
        <f>'WORK SHEET'!O295</f>
        <v>0</v>
      </c>
      <c r="H22" s="131">
        <f>'WORK SHEET'!T295</f>
        <v>0</v>
      </c>
      <c r="I22" s="131">
        <f>'WORK SHEET'!U295</f>
        <v>0</v>
      </c>
      <c r="J22" s="131">
        <f>'WORK SHEET'!R295</f>
        <v>0</v>
      </c>
      <c r="K22" s="131">
        <f>'WORK SHEET'!S295</f>
        <v>0</v>
      </c>
      <c r="L22" s="131"/>
      <c r="M22" s="131"/>
      <c r="N22" s="131">
        <f t="shared" si="8"/>
        <v>0</v>
      </c>
      <c r="O22" s="131"/>
      <c r="P22" s="131">
        <f t="shared" si="9"/>
        <v>0</v>
      </c>
      <c r="Q22" s="131">
        <f>'WORK SHEET'!N295</f>
        <v>0</v>
      </c>
      <c r="R22" s="131">
        <f t="shared" si="12"/>
        <v>0</v>
      </c>
      <c r="S22" s="131">
        <f t="shared" si="13"/>
        <v>0</v>
      </c>
      <c r="T22" s="131">
        <f>'WORK SHEET'!P295</f>
        <v>0</v>
      </c>
      <c r="U22" s="131">
        <f>'WORK SHEET'!Q295</f>
        <v>0</v>
      </c>
      <c r="V22" s="131"/>
      <c r="W22" s="131"/>
      <c r="X22" s="131">
        <f t="shared" si="10"/>
        <v>0</v>
      </c>
      <c r="Y22" s="131"/>
      <c r="Z22" s="131">
        <f t="shared" si="11"/>
        <v>0</v>
      </c>
      <c r="AA22" s="131">
        <f t="shared" si="1"/>
        <v>0</v>
      </c>
      <c r="AB22" s="131">
        <f t="shared" si="2"/>
        <v>0</v>
      </c>
      <c r="AC22" s="131">
        <f t="shared" si="3"/>
        <v>0</v>
      </c>
      <c r="AD22" s="131">
        <f t="shared" si="4"/>
        <v>0</v>
      </c>
      <c r="AE22" s="131"/>
      <c r="AF22" s="131">
        <f t="shared" si="5"/>
        <v>0</v>
      </c>
      <c r="AG22" s="131">
        <f t="shared" si="6"/>
        <v>0</v>
      </c>
      <c r="AH22" s="131">
        <f t="shared" si="7"/>
        <v>0</v>
      </c>
    </row>
    <row r="23" spans="2:34" ht="15" customHeight="1" hidden="1">
      <c r="B23" s="12">
        <f>'WORK SHEET'!H296</f>
        <v>0</v>
      </c>
      <c r="C23" s="12">
        <f>'WORK SHEET'!J296</f>
        <v>0</v>
      </c>
      <c r="D23" s="433">
        <f>'WORK SHEET'!C296</f>
        <v>0</v>
      </c>
      <c r="E23" s="433">
        <f>'WORK SHEET'!E296</f>
        <v>0</v>
      </c>
      <c r="F23" s="131">
        <f>'WORK SHEET'!D296</f>
        <v>0</v>
      </c>
      <c r="G23" s="131">
        <f>'WORK SHEET'!O296</f>
        <v>0</v>
      </c>
      <c r="H23" s="131">
        <f>'WORK SHEET'!T296</f>
        <v>0</v>
      </c>
      <c r="I23" s="131">
        <f>'WORK SHEET'!U296</f>
        <v>0</v>
      </c>
      <c r="J23" s="131">
        <f>'WORK SHEET'!R296</f>
        <v>0</v>
      </c>
      <c r="K23" s="131">
        <f>'WORK SHEET'!S296</f>
        <v>0</v>
      </c>
      <c r="L23" s="131"/>
      <c r="M23" s="131"/>
      <c r="N23" s="131">
        <f t="shared" si="8"/>
        <v>0</v>
      </c>
      <c r="O23" s="131"/>
      <c r="P23" s="131">
        <f t="shared" si="9"/>
        <v>0</v>
      </c>
      <c r="Q23" s="131">
        <f>'WORK SHEET'!N296</f>
        <v>0</v>
      </c>
      <c r="R23" s="131">
        <f t="shared" si="12"/>
        <v>0</v>
      </c>
      <c r="S23" s="131">
        <f t="shared" si="13"/>
        <v>0</v>
      </c>
      <c r="T23" s="131">
        <f>'WORK SHEET'!P296</f>
        <v>0</v>
      </c>
      <c r="U23" s="131">
        <f>'WORK SHEET'!Q296</f>
        <v>0</v>
      </c>
      <c r="V23" s="131"/>
      <c r="W23" s="131"/>
      <c r="X23" s="131">
        <f t="shared" si="10"/>
        <v>0</v>
      </c>
      <c r="Y23" s="131"/>
      <c r="Z23" s="131">
        <f t="shared" si="11"/>
        <v>0</v>
      </c>
      <c r="AA23" s="131">
        <f t="shared" si="1"/>
        <v>0</v>
      </c>
      <c r="AB23" s="131">
        <f t="shared" si="2"/>
        <v>0</v>
      </c>
      <c r="AC23" s="131">
        <f t="shared" si="3"/>
        <v>0</v>
      </c>
      <c r="AD23" s="131">
        <f t="shared" si="4"/>
        <v>0</v>
      </c>
      <c r="AE23" s="131"/>
      <c r="AF23" s="131">
        <f t="shared" si="5"/>
        <v>0</v>
      </c>
      <c r="AG23" s="131">
        <f t="shared" si="6"/>
        <v>0</v>
      </c>
      <c r="AH23" s="131">
        <f t="shared" si="7"/>
        <v>0</v>
      </c>
    </row>
    <row r="24" spans="2:34" ht="17.25" customHeight="1" hidden="1">
      <c r="B24" s="12">
        <f>'WORK SHEET'!H297</f>
        <v>0</v>
      </c>
      <c r="C24" s="12">
        <f>'WORK SHEET'!J297</f>
        <v>0</v>
      </c>
      <c r="D24" s="433">
        <f>'WORK SHEET'!C297</f>
        <v>0</v>
      </c>
      <c r="E24" s="433">
        <f>'WORK SHEET'!E297</f>
        <v>0</v>
      </c>
      <c r="F24" s="131">
        <f>'WORK SHEET'!D297</f>
        <v>0</v>
      </c>
      <c r="G24" s="131">
        <f>'WORK SHEET'!O297</f>
        <v>0</v>
      </c>
      <c r="H24" s="131">
        <f>'WORK SHEET'!T297</f>
        <v>0</v>
      </c>
      <c r="I24" s="131">
        <f>'WORK SHEET'!U297</f>
        <v>0</v>
      </c>
      <c r="J24" s="131">
        <f>'WORK SHEET'!R297</f>
        <v>0</v>
      </c>
      <c r="K24" s="131">
        <f>'WORK SHEET'!S297</f>
        <v>0</v>
      </c>
      <c r="L24" s="131"/>
      <c r="M24" s="131"/>
      <c r="N24" s="131">
        <f t="shared" si="8"/>
        <v>0</v>
      </c>
      <c r="O24" s="131"/>
      <c r="P24" s="131">
        <f t="shared" si="9"/>
        <v>0</v>
      </c>
      <c r="Q24" s="131">
        <f>'WORK SHEET'!N297</f>
        <v>0</v>
      </c>
      <c r="R24" s="131">
        <f t="shared" si="12"/>
        <v>0</v>
      </c>
      <c r="S24" s="131">
        <f t="shared" si="13"/>
        <v>0</v>
      </c>
      <c r="T24" s="131">
        <f>'WORK SHEET'!P297</f>
        <v>0</v>
      </c>
      <c r="U24" s="131">
        <f>'WORK SHEET'!Q297</f>
        <v>0</v>
      </c>
      <c r="V24" s="131"/>
      <c r="W24" s="131"/>
      <c r="X24" s="131">
        <f t="shared" si="10"/>
        <v>0</v>
      </c>
      <c r="Y24" s="131"/>
      <c r="Z24" s="131">
        <f t="shared" si="11"/>
        <v>0</v>
      </c>
      <c r="AA24" s="131">
        <f t="shared" si="1"/>
        <v>0</v>
      </c>
      <c r="AB24" s="131">
        <f t="shared" si="2"/>
        <v>0</v>
      </c>
      <c r="AC24" s="131">
        <f t="shared" si="3"/>
        <v>0</v>
      </c>
      <c r="AD24" s="131">
        <f t="shared" si="4"/>
        <v>0</v>
      </c>
      <c r="AE24" s="131"/>
      <c r="AF24" s="131">
        <f t="shared" si="5"/>
        <v>0</v>
      </c>
      <c r="AG24" s="131">
        <f t="shared" si="6"/>
        <v>0</v>
      </c>
      <c r="AH24" s="131">
        <f t="shared" si="7"/>
        <v>0</v>
      </c>
    </row>
    <row r="25" spans="2:34" ht="15" customHeight="1" hidden="1">
      <c r="B25" s="12">
        <f>'WORK SHEET'!H298</f>
        <v>0</v>
      </c>
      <c r="C25" s="12">
        <f>'WORK SHEET'!J298</f>
        <v>0</v>
      </c>
      <c r="D25" s="433">
        <f>'WORK SHEET'!C298</f>
        <v>0</v>
      </c>
      <c r="E25" s="433">
        <f>'WORK SHEET'!E298</f>
        <v>0</v>
      </c>
      <c r="F25" s="131">
        <f>'WORK SHEET'!D298</f>
        <v>0</v>
      </c>
      <c r="G25" s="131">
        <f>'WORK SHEET'!O298</f>
        <v>0</v>
      </c>
      <c r="H25" s="131">
        <f>'WORK SHEET'!T298</f>
        <v>0</v>
      </c>
      <c r="I25" s="131">
        <f>'WORK SHEET'!U298</f>
        <v>0</v>
      </c>
      <c r="J25" s="131">
        <f>'WORK SHEET'!R298</f>
        <v>0</v>
      </c>
      <c r="K25" s="131">
        <f>'WORK SHEET'!S298</f>
        <v>0</v>
      </c>
      <c r="L25" s="131"/>
      <c r="M25" s="131"/>
      <c r="N25" s="131">
        <f t="shared" si="8"/>
        <v>0</v>
      </c>
      <c r="O25" s="131"/>
      <c r="P25" s="131">
        <f t="shared" si="9"/>
        <v>0</v>
      </c>
      <c r="Q25" s="131">
        <f>'WORK SHEET'!N298</f>
        <v>0</v>
      </c>
      <c r="R25" s="131">
        <f t="shared" si="12"/>
        <v>0</v>
      </c>
      <c r="S25" s="131">
        <f t="shared" si="13"/>
        <v>0</v>
      </c>
      <c r="T25" s="131">
        <f>'WORK SHEET'!P298</f>
        <v>0</v>
      </c>
      <c r="U25" s="131">
        <f>'WORK SHEET'!Q298</f>
        <v>0</v>
      </c>
      <c r="V25" s="131"/>
      <c r="W25" s="131"/>
      <c r="X25" s="131">
        <f t="shared" si="10"/>
        <v>0</v>
      </c>
      <c r="Y25" s="131"/>
      <c r="Z25" s="131">
        <f t="shared" si="11"/>
        <v>0</v>
      </c>
      <c r="AA25" s="131">
        <f t="shared" si="1"/>
        <v>0</v>
      </c>
      <c r="AB25" s="131">
        <f t="shared" si="2"/>
        <v>0</v>
      </c>
      <c r="AC25" s="131">
        <f t="shared" si="3"/>
        <v>0</v>
      </c>
      <c r="AD25" s="131">
        <f t="shared" si="4"/>
        <v>0</v>
      </c>
      <c r="AE25" s="131"/>
      <c r="AF25" s="131">
        <f t="shared" si="5"/>
        <v>0</v>
      </c>
      <c r="AG25" s="131">
        <f t="shared" si="6"/>
        <v>0</v>
      </c>
      <c r="AH25" s="131">
        <f t="shared" si="7"/>
        <v>0</v>
      </c>
    </row>
    <row r="26" spans="2:34" ht="12.75" hidden="1">
      <c r="B26" s="12">
        <f>'WORK SHEET'!H299</f>
        <v>0</v>
      </c>
      <c r="C26" s="12">
        <f>'WORK SHEET'!J299</f>
        <v>0</v>
      </c>
      <c r="D26" s="433">
        <f>'WORK SHEET'!C299</f>
        <v>0</v>
      </c>
      <c r="E26" s="433">
        <f>'WORK SHEET'!E299</f>
        <v>0</v>
      </c>
      <c r="F26" s="131">
        <f>'WORK SHEET'!D299</f>
        <v>0</v>
      </c>
      <c r="G26" s="131">
        <f>'WORK SHEET'!O299</f>
        <v>0</v>
      </c>
      <c r="H26" s="131">
        <f>'WORK SHEET'!T299</f>
        <v>0</v>
      </c>
      <c r="I26" s="131">
        <f>'WORK SHEET'!U299</f>
        <v>0</v>
      </c>
      <c r="J26" s="131">
        <f>'WORK SHEET'!R299</f>
        <v>0</v>
      </c>
      <c r="K26" s="131">
        <f>'WORK SHEET'!S299</f>
        <v>0</v>
      </c>
      <c r="L26" s="131"/>
      <c r="M26" s="131"/>
      <c r="N26" s="131">
        <f t="shared" si="8"/>
        <v>0</v>
      </c>
      <c r="O26" s="131"/>
      <c r="P26" s="131">
        <f>IF(OR(D26=0,DAY(D26)&lt;&gt;1),0,IF(DAY(#REF!)&lt;&gt;1,SUM(G26:M26)+SUM(#REF!),SUM(G26:M26)))</f>
        <v>0</v>
      </c>
      <c r="Q26" s="131">
        <f>'WORK SHEET'!N299</f>
        <v>0</v>
      </c>
      <c r="R26" s="131">
        <f t="shared" si="12"/>
        <v>0</v>
      </c>
      <c r="S26" s="131">
        <f t="shared" si="13"/>
        <v>0</v>
      </c>
      <c r="T26" s="131">
        <f>'WORK SHEET'!P299</f>
        <v>0</v>
      </c>
      <c r="U26" s="131">
        <f>'WORK SHEET'!Q299</f>
        <v>0</v>
      </c>
      <c r="V26" s="131"/>
      <c r="W26" s="131"/>
      <c r="X26" s="508">
        <f t="shared" si="10"/>
        <v>0</v>
      </c>
      <c r="Y26" s="508"/>
      <c r="Z26" s="508">
        <f>IF(OR(D26=0,DAY(D26)&lt;&gt;1),0,IF(DAY(#REF!)&lt;&gt;1,SUM(Q26:W26)+SUM(V27:W27),SUM(Q26:W26)))</f>
        <v>0</v>
      </c>
      <c r="AA26" s="131">
        <f t="shared" si="1"/>
        <v>0</v>
      </c>
      <c r="AB26" s="131">
        <f t="shared" si="2"/>
        <v>0</v>
      </c>
      <c r="AC26" s="131">
        <f t="shared" si="3"/>
        <v>0</v>
      </c>
      <c r="AD26" s="131">
        <f t="shared" si="4"/>
        <v>0</v>
      </c>
      <c r="AE26" s="131"/>
      <c r="AF26" s="131">
        <f t="shared" si="5"/>
        <v>0</v>
      </c>
      <c r="AG26" s="131">
        <f t="shared" si="6"/>
        <v>0</v>
      </c>
      <c r="AH26" s="131">
        <f t="shared" si="7"/>
        <v>0</v>
      </c>
    </row>
    <row r="27" spans="24:34" ht="12.75">
      <c r="X27" s="506"/>
      <c r="Y27" s="15"/>
      <c r="Z27" s="506"/>
      <c r="AA27" s="131">
        <f aca="true" t="shared" si="14" ref="AA27:AH27">SUM(AA5:AA26)</f>
        <v>0</v>
      </c>
      <c r="AB27" s="131">
        <f t="shared" si="14"/>
        <v>0</v>
      </c>
      <c r="AC27" s="131">
        <f t="shared" si="14"/>
        <v>0</v>
      </c>
      <c r="AD27" s="131">
        <f t="shared" si="14"/>
        <v>0</v>
      </c>
      <c r="AE27" s="508">
        <f t="shared" si="14"/>
        <v>0</v>
      </c>
      <c r="AF27" s="508">
        <f t="shared" si="14"/>
        <v>0</v>
      </c>
      <c r="AG27" s="508">
        <f t="shared" si="14"/>
        <v>0</v>
      </c>
      <c r="AH27" s="508">
        <f t="shared" si="14"/>
        <v>0</v>
      </c>
    </row>
    <row r="28" spans="4:34" ht="8.25" customHeight="1">
      <c r="D28" s="505"/>
      <c r="E28" s="506"/>
      <c r="F28" s="506"/>
      <c r="G28" s="506"/>
      <c r="H28" s="506"/>
      <c r="I28" s="506"/>
      <c r="J28" s="506"/>
      <c r="K28" s="506"/>
      <c r="L28" s="506"/>
      <c r="M28" s="506"/>
      <c r="N28" s="506">
        <f t="shared" si="8"/>
        <v>0</v>
      </c>
      <c r="O28" s="506"/>
      <c r="P28" s="506">
        <f>IF(OR(D28=0,DAY(D28)&lt;&gt;1),0,IF(DAY(#REF!)&lt;&gt;1,SUM(G28:M28)+SUM(#REF!),SUM(G28:M28)))</f>
        <v>0</v>
      </c>
      <c r="Q28" s="506"/>
      <c r="R28" s="506"/>
      <c r="S28" s="506"/>
      <c r="T28" s="506"/>
      <c r="U28" s="506"/>
      <c r="V28" s="506"/>
      <c r="W28" s="506"/>
      <c r="X28" s="506">
        <f t="shared" si="10"/>
        <v>0</v>
      </c>
      <c r="Y28" s="506"/>
      <c r="Z28" s="506">
        <f>IF(OR(D28=0,DAY(D28)&lt;&gt;1),0,IF(DAY(#REF!)&lt;&gt;1,SUM(Q28:W28)+SUM(V29:W29),SUM(Q28:W28)))</f>
        <v>0</v>
      </c>
      <c r="AA28" s="506"/>
      <c r="AB28" s="506"/>
      <c r="AC28" s="506"/>
      <c r="AD28" s="506"/>
      <c r="AE28" s="511"/>
      <c r="AF28" s="511"/>
      <c r="AG28" s="511"/>
      <c r="AH28" s="512"/>
    </row>
    <row r="29" spans="4:34" ht="12.75">
      <c r="D29" s="872" t="s">
        <v>615</v>
      </c>
      <c r="E29" s="873"/>
      <c r="F29" s="873"/>
      <c r="G29" s="873"/>
      <c r="H29" s="873"/>
      <c r="I29" s="873"/>
      <c r="J29" s="873"/>
      <c r="K29" s="873"/>
      <c r="L29" s="873"/>
      <c r="M29" s="873"/>
      <c r="N29" s="873"/>
      <c r="O29" s="873"/>
      <c r="P29" s="873"/>
      <c r="Q29" s="873"/>
      <c r="R29" s="873"/>
      <c r="S29" s="873"/>
      <c r="T29" s="873"/>
      <c r="U29" s="873"/>
      <c r="V29" s="507"/>
      <c r="W29" s="507"/>
      <c r="X29" s="506"/>
      <c r="Y29" s="510"/>
      <c r="Z29" s="506"/>
      <c r="AA29" s="438"/>
      <c r="AB29" s="438"/>
      <c r="AC29" s="438"/>
      <c r="AD29" s="438"/>
      <c r="AE29" s="438"/>
      <c r="AF29" s="513"/>
      <c r="AG29" s="438"/>
      <c r="AH29" s="439"/>
    </row>
    <row r="30" spans="2:34" ht="17.25" customHeight="1">
      <c r="B30" s="12">
        <f>'WORK SHEET'!H313</f>
        <v>29.96</v>
      </c>
      <c r="C30" s="12">
        <f>'WORK SHEET'!J313</f>
        <v>12</v>
      </c>
      <c r="D30" s="433">
        <f>'WORK SHEET'!C313</f>
        <v>40695</v>
      </c>
      <c r="E30" s="433">
        <f>'WORK SHEET'!E313</f>
        <v>40724</v>
      </c>
      <c r="F30" s="131">
        <f>'WORK SHEET'!D313</f>
        <v>30</v>
      </c>
      <c r="G30" s="131">
        <f>'WORK SHEET'!O313</f>
        <v>12910</v>
      </c>
      <c r="H30" s="131">
        <f>'WORK SHEET'!T313</f>
        <v>0</v>
      </c>
      <c r="I30" s="131">
        <f>'WORK SHEET'!U313</f>
        <v>0</v>
      </c>
      <c r="J30" s="131">
        <f>'WORK SHEET'!R313</f>
        <v>3868</v>
      </c>
      <c r="K30" s="131">
        <f>'WORK SHEET'!S313</f>
        <v>1549</v>
      </c>
      <c r="L30" s="131"/>
      <c r="M30" s="131"/>
      <c r="N30" s="131">
        <f t="shared" si="8"/>
        <v>150</v>
      </c>
      <c r="O30" s="131">
        <f>ROUND('WORK SHEET'!M317*F30/VLOOKUP(MONTH(D30),'WORK SHEET'!M126:N137,2,TRUE),0)</f>
        <v>0</v>
      </c>
      <c r="P30" s="131">
        <f t="shared" si="9"/>
        <v>18327</v>
      </c>
      <c r="Q30" s="131">
        <f>'WORK SHEET'!N313</f>
        <v>12910</v>
      </c>
      <c r="R30" s="131">
        <f>H30</f>
        <v>0</v>
      </c>
      <c r="S30" s="131">
        <f>I30</f>
        <v>0</v>
      </c>
      <c r="T30" s="131">
        <f>'WORK SHEET'!P313</f>
        <v>3868</v>
      </c>
      <c r="U30" s="131">
        <f>'WORK SHEET'!Q313</f>
        <v>1549</v>
      </c>
      <c r="V30" s="131"/>
      <c r="W30" s="131"/>
      <c r="X30" s="131">
        <f t="shared" si="10"/>
        <v>150</v>
      </c>
      <c r="Y30" s="131"/>
      <c r="Z30" s="131">
        <f t="shared" si="11"/>
        <v>18327</v>
      </c>
      <c r="AA30" s="131">
        <f aca="true" t="shared" si="15" ref="AA30:AA37">G30-Q30</f>
        <v>0</v>
      </c>
      <c r="AB30" s="131">
        <f aca="true" t="shared" si="16" ref="AB30:AD37">J30-T30</f>
        <v>0</v>
      </c>
      <c r="AC30" s="131">
        <f t="shared" si="16"/>
        <v>0</v>
      </c>
      <c r="AD30" s="131">
        <f t="shared" si="16"/>
        <v>0</v>
      </c>
      <c r="AE30" s="509"/>
      <c r="AF30" s="509">
        <f t="shared" si="5"/>
        <v>0</v>
      </c>
      <c r="AG30" s="509">
        <f aca="true" t="shared" si="17" ref="AG30:AG37">O30-Y30</f>
        <v>0</v>
      </c>
      <c r="AH30" s="509">
        <f aca="true" t="shared" si="18" ref="AH30:AH37">P30-Z30</f>
        <v>0</v>
      </c>
    </row>
    <row r="31" spans="2:34" ht="17.25" customHeight="1">
      <c r="B31" s="12">
        <f>'WORK SHEET'!H314</f>
        <v>29.96</v>
      </c>
      <c r="C31" s="12">
        <f>'WORK SHEET'!J314</f>
        <v>12</v>
      </c>
      <c r="D31" s="433">
        <f>'WORK SHEET'!C314</f>
        <v>40725</v>
      </c>
      <c r="E31" s="433">
        <f>'WORK SHEET'!E314</f>
        <v>40755</v>
      </c>
      <c r="F31" s="131">
        <f>'WORK SHEET'!D314</f>
        <v>31</v>
      </c>
      <c r="G31" s="131">
        <f>'WORK SHEET'!O314</f>
        <v>12910</v>
      </c>
      <c r="H31" s="131">
        <f>'WORK SHEET'!T314</f>
        <v>0</v>
      </c>
      <c r="I31" s="131">
        <f>'WORK SHEET'!U314</f>
        <v>0</v>
      </c>
      <c r="J31" s="131">
        <f>'WORK SHEET'!R314</f>
        <v>3868</v>
      </c>
      <c r="K31" s="131">
        <f>'WORK SHEET'!S314</f>
        <v>1549</v>
      </c>
      <c r="L31" s="131"/>
      <c r="M31" s="131"/>
      <c r="N31" s="131">
        <f t="shared" si="8"/>
        <v>150</v>
      </c>
      <c r="O31" s="131">
        <f>ROUND('WORK SHEET'!M318*F31/VLOOKUP(MONTH(D31),'WORK SHEET'!M127:N138,2,TRUE),0)</f>
        <v>0</v>
      </c>
      <c r="P31" s="131">
        <f t="shared" si="9"/>
        <v>18327</v>
      </c>
      <c r="Q31" s="131">
        <f>'WORK SHEET'!N314</f>
        <v>12910</v>
      </c>
      <c r="R31" s="131">
        <f aca="true" t="shared" si="19" ref="R31:R37">H31</f>
        <v>0</v>
      </c>
      <c r="S31" s="131">
        <f aca="true" t="shared" si="20" ref="S31:S37">I31</f>
        <v>0</v>
      </c>
      <c r="T31" s="131">
        <f>'WORK SHEET'!P314</f>
        <v>3868</v>
      </c>
      <c r="U31" s="131">
        <f>'WORK SHEET'!Q314</f>
        <v>1549</v>
      </c>
      <c r="V31" s="131"/>
      <c r="W31" s="131"/>
      <c r="X31" s="131">
        <f t="shared" si="10"/>
        <v>150</v>
      </c>
      <c r="Y31" s="131"/>
      <c r="Z31" s="131">
        <f t="shared" si="11"/>
        <v>18327</v>
      </c>
      <c r="AA31" s="131">
        <f t="shared" si="15"/>
        <v>0</v>
      </c>
      <c r="AB31" s="131">
        <f t="shared" si="16"/>
        <v>0</v>
      </c>
      <c r="AC31" s="131">
        <f t="shared" si="16"/>
        <v>0</v>
      </c>
      <c r="AD31" s="131">
        <f t="shared" si="16"/>
        <v>0</v>
      </c>
      <c r="AE31" s="131"/>
      <c r="AF31" s="131">
        <f t="shared" si="5"/>
        <v>0</v>
      </c>
      <c r="AG31" s="131">
        <f t="shared" si="17"/>
        <v>0</v>
      </c>
      <c r="AH31" s="131">
        <f t="shared" si="18"/>
        <v>0</v>
      </c>
    </row>
    <row r="32" spans="2:34" ht="17.25" customHeight="1" hidden="1">
      <c r="B32" s="12">
        <f>'WORK SHEET'!H315</f>
        <v>29.96</v>
      </c>
      <c r="C32" s="12">
        <f>'WORK SHEET'!J315</f>
        <v>12</v>
      </c>
      <c r="D32" s="433">
        <f>'WORK SHEET'!C315</f>
        <v>40756</v>
      </c>
      <c r="E32" s="433">
        <f>'WORK SHEET'!E315</f>
        <v>40786</v>
      </c>
      <c r="F32" s="131">
        <f>'WORK SHEET'!D315</f>
        <v>31</v>
      </c>
      <c r="G32" s="131">
        <f>'WORK SHEET'!O315</f>
        <v>12910</v>
      </c>
      <c r="H32" s="131">
        <f>'WORK SHEET'!T315</f>
        <v>0</v>
      </c>
      <c r="I32" s="131">
        <f>'WORK SHEET'!U315</f>
        <v>0</v>
      </c>
      <c r="J32" s="131">
        <f>'WORK SHEET'!R315</f>
        <v>3868</v>
      </c>
      <c r="K32" s="131">
        <f>'WORK SHEET'!S315</f>
        <v>1549</v>
      </c>
      <c r="L32" s="131"/>
      <c r="M32" s="131"/>
      <c r="N32" s="131">
        <f t="shared" si="8"/>
        <v>150</v>
      </c>
      <c r="O32" s="131">
        <f>ROUND('WORK SHEET'!M319*F32/VLOOKUP(MONTH(D32),'WORK SHEET'!M128:N139,2,TRUE),0)</f>
        <v>0</v>
      </c>
      <c r="P32" s="131">
        <f t="shared" si="9"/>
        <v>18327</v>
      </c>
      <c r="Q32" s="131">
        <f>'WORK SHEET'!N315</f>
        <v>12910</v>
      </c>
      <c r="R32" s="131">
        <f t="shared" si="19"/>
        <v>0</v>
      </c>
      <c r="S32" s="131">
        <f t="shared" si="20"/>
        <v>0</v>
      </c>
      <c r="T32" s="131">
        <f>'WORK SHEET'!P315</f>
        <v>3868</v>
      </c>
      <c r="U32" s="131">
        <f>'WORK SHEET'!Q315</f>
        <v>1549</v>
      </c>
      <c r="V32" s="131"/>
      <c r="W32" s="131"/>
      <c r="X32" s="131">
        <f t="shared" si="10"/>
        <v>150</v>
      </c>
      <c r="Y32" s="131"/>
      <c r="Z32" s="131">
        <f t="shared" si="11"/>
        <v>18327</v>
      </c>
      <c r="AA32" s="131">
        <f t="shared" si="15"/>
        <v>0</v>
      </c>
      <c r="AB32" s="131">
        <f t="shared" si="16"/>
        <v>0</v>
      </c>
      <c r="AC32" s="131">
        <f t="shared" si="16"/>
        <v>0</v>
      </c>
      <c r="AD32" s="131">
        <f t="shared" si="16"/>
        <v>0</v>
      </c>
      <c r="AE32" s="131"/>
      <c r="AF32" s="131">
        <f t="shared" si="5"/>
        <v>0</v>
      </c>
      <c r="AG32" s="131">
        <f t="shared" si="17"/>
        <v>0</v>
      </c>
      <c r="AH32" s="131">
        <f t="shared" si="18"/>
        <v>0</v>
      </c>
    </row>
    <row r="33" spans="2:34" ht="15.75" customHeight="1" hidden="1">
      <c r="B33" s="12">
        <f>'WORK SHEET'!H316</f>
        <v>29.96</v>
      </c>
      <c r="C33" s="12">
        <f>'WORK SHEET'!J316</f>
        <v>12</v>
      </c>
      <c r="D33" s="433">
        <f>'WORK SHEET'!C316</f>
        <v>40787</v>
      </c>
      <c r="E33" s="433">
        <f>'WORK SHEET'!E316</f>
        <v>40816</v>
      </c>
      <c r="F33" s="131">
        <f>'WORK SHEET'!D316</f>
        <v>30</v>
      </c>
      <c r="G33" s="131">
        <f>'WORK SHEET'!O316</f>
        <v>12910</v>
      </c>
      <c r="H33" s="131">
        <f>'WORK SHEET'!T316</f>
        <v>0</v>
      </c>
      <c r="I33" s="131">
        <f>'WORK SHEET'!U316</f>
        <v>0</v>
      </c>
      <c r="J33" s="131">
        <f>'WORK SHEET'!R316</f>
        <v>3868</v>
      </c>
      <c r="K33" s="131">
        <f>'WORK SHEET'!S316</f>
        <v>1549</v>
      </c>
      <c r="L33" s="131"/>
      <c r="M33" s="131"/>
      <c r="N33" s="131">
        <f t="shared" si="8"/>
        <v>150</v>
      </c>
      <c r="O33" s="131">
        <f>ROUND('WORK SHEET'!M320*F33/VLOOKUP(MONTH(D33),'WORK SHEET'!M129:N140,2,TRUE),0)</f>
        <v>0</v>
      </c>
      <c r="P33" s="131">
        <f t="shared" si="9"/>
        <v>18327</v>
      </c>
      <c r="Q33" s="131">
        <f>'WORK SHEET'!N316</f>
        <v>12910</v>
      </c>
      <c r="R33" s="131">
        <f t="shared" si="19"/>
        <v>0</v>
      </c>
      <c r="S33" s="131">
        <f t="shared" si="20"/>
        <v>0</v>
      </c>
      <c r="T33" s="131">
        <f>'WORK SHEET'!P316</f>
        <v>3868</v>
      </c>
      <c r="U33" s="131">
        <f>'WORK SHEET'!Q316</f>
        <v>1549</v>
      </c>
      <c r="V33" s="131"/>
      <c r="W33" s="131"/>
      <c r="X33" s="131">
        <f t="shared" si="10"/>
        <v>150</v>
      </c>
      <c r="Y33" s="131"/>
      <c r="Z33" s="131">
        <f t="shared" si="11"/>
        <v>18327</v>
      </c>
      <c r="AA33" s="131">
        <f t="shared" si="15"/>
        <v>0</v>
      </c>
      <c r="AB33" s="131">
        <f t="shared" si="16"/>
        <v>0</v>
      </c>
      <c r="AC33" s="131">
        <f t="shared" si="16"/>
        <v>0</v>
      </c>
      <c r="AD33" s="131">
        <f t="shared" si="16"/>
        <v>0</v>
      </c>
      <c r="AE33" s="131"/>
      <c r="AF33" s="131">
        <f t="shared" si="5"/>
        <v>0</v>
      </c>
      <c r="AG33" s="131">
        <f t="shared" si="17"/>
        <v>0</v>
      </c>
      <c r="AH33" s="131">
        <f t="shared" si="18"/>
        <v>0</v>
      </c>
    </row>
    <row r="34" spans="2:34" ht="17.25" customHeight="1" hidden="1">
      <c r="B34" s="12">
        <f>'WORK SHEET'!H317</f>
        <v>29.96</v>
      </c>
      <c r="C34" s="12">
        <f>'WORK SHEET'!J317</f>
        <v>12</v>
      </c>
      <c r="D34" s="433">
        <f>'WORK SHEET'!C317</f>
        <v>40817</v>
      </c>
      <c r="E34" s="433">
        <f>'WORK SHEET'!E317</f>
        <v>40817.01</v>
      </c>
      <c r="F34" s="131">
        <f>'WORK SHEET'!D317</f>
        <v>1</v>
      </c>
      <c r="G34" s="131">
        <f>'WORK SHEET'!O317</f>
        <v>441</v>
      </c>
      <c r="H34" s="131">
        <f>'WORK SHEET'!T317</f>
        <v>0</v>
      </c>
      <c r="I34" s="131">
        <f>'WORK SHEET'!U317</f>
        <v>0</v>
      </c>
      <c r="J34" s="131">
        <f>'WORK SHEET'!R317</f>
        <v>132</v>
      </c>
      <c r="K34" s="131">
        <f>'WORK SHEET'!S317</f>
        <v>53</v>
      </c>
      <c r="L34" s="131"/>
      <c r="M34" s="131"/>
      <c r="N34" s="131">
        <f t="shared" si="8"/>
        <v>60</v>
      </c>
      <c r="O34" s="131">
        <f>ROUND('WORK SHEET'!M321*F34/VLOOKUP(MONTH(D34),'WORK SHEET'!M130:N141,2,TRUE),0)</f>
        <v>0</v>
      </c>
      <c r="P34" s="131">
        <f t="shared" si="9"/>
        <v>626</v>
      </c>
      <c r="Q34" s="131">
        <f>'WORK SHEET'!N317</f>
        <v>441</v>
      </c>
      <c r="R34" s="131">
        <f t="shared" si="19"/>
        <v>0</v>
      </c>
      <c r="S34" s="131">
        <f t="shared" si="20"/>
        <v>0</v>
      </c>
      <c r="T34" s="131">
        <f>'WORK SHEET'!P317</f>
        <v>132</v>
      </c>
      <c r="U34" s="131">
        <f>'WORK SHEET'!Q317</f>
        <v>53</v>
      </c>
      <c r="V34" s="131"/>
      <c r="W34" s="131"/>
      <c r="X34" s="131">
        <f t="shared" si="10"/>
        <v>60</v>
      </c>
      <c r="Y34" s="131"/>
      <c r="Z34" s="131">
        <f t="shared" si="11"/>
        <v>626</v>
      </c>
      <c r="AA34" s="131">
        <f t="shared" si="15"/>
        <v>0</v>
      </c>
      <c r="AB34" s="131">
        <f t="shared" si="16"/>
        <v>0</v>
      </c>
      <c r="AC34" s="131">
        <f t="shared" si="16"/>
        <v>0</v>
      </c>
      <c r="AD34" s="131">
        <f t="shared" si="16"/>
        <v>0</v>
      </c>
      <c r="AE34" s="131"/>
      <c r="AF34" s="131">
        <f t="shared" si="5"/>
        <v>0</v>
      </c>
      <c r="AG34" s="131">
        <f t="shared" si="17"/>
        <v>0</v>
      </c>
      <c r="AH34" s="131">
        <f t="shared" si="18"/>
        <v>0</v>
      </c>
    </row>
    <row r="35" spans="2:34" ht="17.25" customHeight="1" hidden="1">
      <c r="B35" s="12">
        <f>'WORK SHEET'!H318</f>
        <v>0</v>
      </c>
      <c r="C35" s="12">
        <f>'WORK SHEET'!J318</f>
        <v>0</v>
      </c>
      <c r="D35" s="433">
        <f>'WORK SHEET'!C318</f>
        <v>0</v>
      </c>
      <c r="E35" s="433">
        <f>'WORK SHEET'!E318</f>
        <v>0</v>
      </c>
      <c r="F35" s="131">
        <f>'WORK SHEET'!D318</f>
        <v>0</v>
      </c>
      <c r="G35" s="131">
        <f>'WORK SHEET'!O318</f>
        <v>0</v>
      </c>
      <c r="H35" s="131">
        <f>'WORK SHEET'!T318</f>
        <v>0</v>
      </c>
      <c r="I35" s="131">
        <f>'WORK SHEET'!U318</f>
        <v>0</v>
      </c>
      <c r="J35" s="131">
        <f>'WORK SHEET'!R318</f>
        <v>0</v>
      </c>
      <c r="K35" s="131">
        <f>'WORK SHEET'!S318</f>
        <v>0</v>
      </c>
      <c r="L35" s="131"/>
      <c r="M35" s="131"/>
      <c r="N35" s="131">
        <f t="shared" si="8"/>
        <v>0</v>
      </c>
      <c r="O35" s="131" t="e">
        <f>ROUND('WORK SHEET'!M322*F35/VLOOKUP(MONTH(D35),'WORK SHEET'!M131:N142,2,TRUE),0)</f>
        <v>#N/A</v>
      </c>
      <c r="P35" s="131">
        <f t="shared" si="9"/>
        <v>0</v>
      </c>
      <c r="Q35" s="131">
        <f>'WORK SHEET'!N318</f>
        <v>0</v>
      </c>
      <c r="R35" s="131">
        <f t="shared" si="19"/>
        <v>0</v>
      </c>
      <c r="S35" s="131">
        <f t="shared" si="20"/>
        <v>0</v>
      </c>
      <c r="T35" s="131">
        <f>'WORK SHEET'!P318</f>
        <v>0</v>
      </c>
      <c r="U35" s="131">
        <f>'WORK SHEET'!Q318</f>
        <v>0</v>
      </c>
      <c r="V35" s="131"/>
      <c r="W35" s="131"/>
      <c r="X35" s="131">
        <f t="shared" si="10"/>
        <v>0</v>
      </c>
      <c r="Y35" s="131"/>
      <c r="Z35" s="131">
        <f t="shared" si="11"/>
        <v>0</v>
      </c>
      <c r="AA35" s="131">
        <f t="shared" si="15"/>
        <v>0</v>
      </c>
      <c r="AB35" s="131">
        <f t="shared" si="16"/>
        <v>0</v>
      </c>
      <c r="AC35" s="131">
        <f t="shared" si="16"/>
        <v>0</v>
      </c>
      <c r="AD35" s="131">
        <f t="shared" si="16"/>
        <v>0</v>
      </c>
      <c r="AE35" s="131"/>
      <c r="AF35" s="131">
        <f t="shared" si="5"/>
        <v>0</v>
      </c>
      <c r="AG35" s="131" t="e">
        <f t="shared" si="17"/>
        <v>#N/A</v>
      </c>
      <c r="AH35" s="131">
        <f t="shared" si="18"/>
        <v>0</v>
      </c>
    </row>
    <row r="36" spans="2:34" ht="17.25" customHeight="1" hidden="1">
      <c r="B36" s="12">
        <f>'WORK SHEET'!H319</f>
        <v>0</v>
      </c>
      <c r="C36" s="12">
        <f>'WORK SHEET'!J319</f>
        <v>0</v>
      </c>
      <c r="D36" s="433">
        <f>'WORK SHEET'!C319</f>
        <v>0</v>
      </c>
      <c r="E36" s="433">
        <f>'WORK SHEET'!E319</f>
        <v>0</v>
      </c>
      <c r="F36" s="131">
        <f>'WORK SHEET'!D319</f>
        <v>0</v>
      </c>
      <c r="G36" s="131">
        <f>'WORK SHEET'!O319</f>
        <v>0</v>
      </c>
      <c r="H36" s="131">
        <f>'WORK SHEET'!T319</f>
        <v>0</v>
      </c>
      <c r="I36" s="131">
        <f>'WORK SHEET'!U319</f>
        <v>0</v>
      </c>
      <c r="J36" s="131">
        <f>'WORK SHEET'!R319</f>
        <v>0</v>
      </c>
      <c r="K36" s="131">
        <f>'WORK SHEET'!S319</f>
        <v>0</v>
      </c>
      <c r="L36" s="131"/>
      <c r="M36" s="131"/>
      <c r="N36" s="131">
        <f t="shared" si="8"/>
        <v>0</v>
      </c>
      <c r="O36" s="131" t="e">
        <f>ROUND('WORK SHEET'!M323*F36/VLOOKUP(MONTH(D36),'WORK SHEET'!M132:N143,2,TRUE),0)</f>
        <v>#N/A</v>
      </c>
      <c r="P36" s="131">
        <f t="shared" si="9"/>
        <v>0</v>
      </c>
      <c r="Q36" s="131">
        <f>'WORK SHEET'!N319</f>
        <v>0</v>
      </c>
      <c r="R36" s="131">
        <f t="shared" si="19"/>
        <v>0</v>
      </c>
      <c r="S36" s="131">
        <f t="shared" si="20"/>
        <v>0</v>
      </c>
      <c r="T36" s="131">
        <f>'WORK SHEET'!P319</f>
        <v>0</v>
      </c>
      <c r="U36" s="131">
        <f>'WORK SHEET'!Q319</f>
        <v>0</v>
      </c>
      <c r="V36" s="131"/>
      <c r="W36" s="131"/>
      <c r="X36" s="131">
        <f t="shared" si="10"/>
        <v>0</v>
      </c>
      <c r="Y36" s="131"/>
      <c r="Z36" s="131">
        <f t="shared" si="11"/>
        <v>0</v>
      </c>
      <c r="AA36" s="131">
        <f t="shared" si="15"/>
        <v>0</v>
      </c>
      <c r="AB36" s="131">
        <f t="shared" si="16"/>
        <v>0</v>
      </c>
      <c r="AC36" s="131">
        <f t="shared" si="16"/>
        <v>0</v>
      </c>
      <c r="AD36" s="131">
        <f t="shared" si="16"/>
        <v>0</v>
      </c>
      <c r="AE36" s="131"/>
      <c r="AF36" s="131">
        <f t="shared" si="5"/>
        <v>0</v>
      </c>
      <c r="AG36" s="131" t="e">
        <f t="shared" si="17"/>
        <v>#N/A</v>
      </c>
      <c r="AH36" s="131">
        <f t="shared" si="18"/>
        <v>0</v>
      </c>
    </row>
    <row r="37" spans="2:34" ht="17.25" customHeight="1" hidden="1">
      <c r="B37" s="12">
        <f>'WORK SHEET'!H320</f>
        <v>0</v>
      </c>
      <c r="C37" s="12">
        <f>'WORK SHEET'!J320</f>
        <v>0</v>
      </c>
      <c r="D37" s="433">
        <f>'WORK SHEET'!C320</f>
        <v>0</v>
      </c>
      <c r="E37" s="433">
        <f>'WORK SHEET'!E320</f>
        <v>0</v>
      </c>
      <c r="F37" s="131">
        <f>'WORK SHEET'!D320</f>
        <v>0</v>
      </c>
      <c r="G37" s="131">
        <f>'WORK SHEET'!O320</f>
        <v>0</v>
      </c>
      <c r="H37" s="131">
        <f>'WORK SHEET'!T320</f>
        <v>0</v>
      </c>
      <c r="I37" s="131">
        <f>'WORK SHEET'!U320</f>
        <v>0</v>
      </c>
      <c r="J37" s="131">
        <f>'WORK SHEET'!R320</f>
        <v>0</v>
      </c>
      <c r="K37" s="131">
        <f>'WORK SHEET'!S320</f>
        <v>0</v>
      </c>
      <c r="L37" s="131"/>
      <c r="M37" s="131"/>
      <c r="N37" s="131">
        <f t="shared" si="8"/>
        <v>0</v>
      </c>
      <c r="O37" s="131" t="e">
        <f>ROUND('WORK SHEET'!M324*F37/VLOOKUP(MONTH(D37),'WORK SHEET'!M133:N144,2,TRUE),0)</f>
        <v>#N/A</v>
      </c>
      <c r="P37" s="131">
        <f>IF(OR(D37=0,DAY(D37)&lt;&gt;1),0,IF(DAY(B38)&lt;&gt;1,SUM(G37:M37)+SUM(G38:M38),SUM(G37:M37)))</f>
        <v>0</v>
      </c>
      <c r="Q37" s="131">
        <f>'WORK SHEET'!N320</f>
        <v>0</v>
      </c>
      <c r="R37" s="131">
        <f t="shared" si="19"/>
        <v>0</v>
      </c>
      <c r="S37" s="131">
        <f t="shared" si="20"/>
        <v>0</v>
      </c>
      <c r="T37" s="131">
        <f>'WORK SHEET'!P320</f>
        <v>0</v>
      </c>
      <c r="U37" s="131">
        <f>'WORK SHEET'!Q320</f>
        <v>0</v>
      </c>
      <c r="V37" s="131"/>
      <c r="W37" s="131"/>
      <c r="X37" s="131">
        <f t="shared" si="10"/>
        <v>0</v>
      </c>
      <c r="Y37" s="131"/>
      <c r="Z37" s="131">
        <f>IF(OR(D37=0,DAY(D37)&lt;&gt;1),0,IF(DAY(B38)&lt;&gt;1,SUM(Q37:W37)+SUM(Q38:W38),SUM(Q37:W37)))</f>
        <v>0</v>
      </c>
      <c r="AA37" s="131">
        <f t="shared" si="15"/>
        <v>0</v>
      </c>
      <c r="AB37" s="131">
        <f t="shared" si="16"/>
        <v>0</v>
      </c>
      <c r="AC37" s="131">
        <f t="shared" si="16"/>
        <v>0</v>
      </c>
      <c r="AD37" s="131">
        <f t="shared" si="16"/>
        <v>0</v>
      </c>
      <c r="AE37" s="131"/>
      <c r="AF37" s="131">
        <f t="shared" si="5"/>
        <v>0</v>
      </c>
      <c r="AG37" s="131" t="e">
        <f t="shared" si="17"/>
        <v>#N/A</v>
      </c>
      <c r="AH37" s="131">
        <f t="shared" si="18"/>
        <v>0</v>
      </c>
    </row>
    <row r="38" spans="2:34" ht="16.5" customHeight="1">
      <c r="B38" s="864" t="s">
        <v>661</v>
      </c>
      <c r="C38" s="865"/>
      <c r="D38" s="865"/>
      <c r="E38" s="865"/>
      <c r="F38" s="865"/>
      <c r="G38" s="865"/>
      <c r="H38" s="865"/>
      <c r="I38" s="865"/>
      <c r="J38" s="865"/>
      <c r="K38" s="865"/>
      <c r="L38" s="865"/>
      <c r="M38" s="865"/>
      <c r="N38" s="865"/>
      <c r="O38" s="865"/>
      <c r="P38" s="865"/>
      <c r="Q38" s="865"/>
      <c r="R38" s="865"/>
      <c r="S38" s="865"/>
      <c r="T38" s="865"/>
      <c r="U38" s="865"/>
      <c r="V38" s="865"/>
      <c r="W38" s="865"/>
      <c r="X38" s="865"/>
      <c r="Y38" s="865"/>
      <c r="Z38" s="866"/>
      <c r="AA38" s="437">
        <f aca="true" t="shared" si="21" ref="AA38:AH38">SUM(AA30:AA37)</f>
        <v>0</v>
      </c>
      <c r="AB38" s="437">
        <f t="shared" si="21"/>
        <v>0</v>
      </c>
      <c r="AC38" s="437">
        <f t="shared" si="21"/>
        <v>0</v>
      </c>
      <c r="AD38" s="437">
        <f t="shared" si="21"/>
        <v>0</v>
      </c>
      <c r="AE38" s="437"/>
      <c r="AF38" s="131">
        <f t="shared" si="5"/>
        <v>0</v>
      </c>
      <c r="AG38" s="437" t="e">
        <f t="shared" si="21"/>
        <v>#N/A</v>
      </c>
      <c r="AH38" s="437">
        <f t="shared" si="21"/>
        <v>0</v>
      </c>
    </row>
    <row r="39" spans="2:34" ht="16.5" customHeight="1">
      <c r="B39" s="867" t="s">
        <v>148</v>
      </c>
      <c r="C39" s="868"/>
      <c r="D39" s="868"/>
      <c r="E39" s="868"/>
      <c r="F39" s="868"/>
      <c r="G39" s="868"/>
      <c r="H39" s="868"/>
      <c r="I39" s="868"/>
      <c r="J39" s="868"/>
      <c r="K39" s="868"/>
      <c r="L39" s="868"/>
      <c r="M39" s="868"/>
      <c r="N39" s="868"/>
      <c r="O39" s="868"/>
      <c r="P39" s="868"/>
      <c r="Q39" s="868"/>
      <c r="R39" s="868"/>
      <c r="S39" s="868"/>
      <c r="T39" s="868"/>
      <c r="U39" s="868"/>
      <c r="V39" s="868"/>
      <c r="W39" s="868"/>
      <c r="X39" s="868"/>
      <c r="Y39" s="868"/>
      <c r="Z39" s="869"/>
      <c r="AA39" s="437">
        <f>AA27+AA38</f>
        <v>0</v>
      </c>
      <c r="AB39" s="437">
        <f aca="true" t="shared" si="22" ref="AB39:AH39">AB27+AB38</f>
        <v>0</v>
      </c>
      <c r="AC39" s="437">
        <f t="shared" si="22"/>
        <v>0</v>
      </c>
      <c r="AD39" s="437">
        <f t="shared" si="22"/>
        <v>0</v>
      </c>
      <c r="AE39" s="437">
        <f t="shared" si="22"/>
        <v>0</v>
      </c>
      <c r="AF39" s="437">
        <f t="shared" si="22"/>
        <v>0</v>
      </c>
      <c r="AG39" s="437" t="e">
        <f t="shared" si="22"/>
        <v>#N/A</v>
      </c>
      <c r="AH39" s="437">
        <f t="shared" si="22"/>
        <v>0</v>
      </c>
    </row>
    <row r="40" ht="12.75">
      <c r="D40" s="318" t="s">
        <v>673</v>
      </c>
    </row>
    <row r="41" ht="12.75">
      <c r="D41" s="318" t="s">
        <v>656</v>
      </c>
    </row>
    <row r="42" spans="4:20" ht="12.75">
      <c r="D42" s="113" t="s">
        <v>576</v>
      </c>
      <c r="Q42" s="616"/>
      <c r="R42" s="616"/>
      <c r="S42" s="616"/>
      <c r="T42" s="616"/>
    </row>
  </sheetData>
  <sheetProtection password="E95C" sheet="1"/>
  <mergeCells count="11">
    <mergeCell ref="B1:AH1"/>
    <mergeCell ref="D29:U29"/>
    <mergeCell ref="D2:AH2"/>
    <mergeCell ref="D3:E3"/>
    <mergeCell ref="G3:P3"/>
    <mergeCell ref="Q3:Z3"/>
    <mergeCell ref="AA3:AH3"/>
    <mergeCell ref="F3:F4"/>
    <mergeCell ref="B38:Z38"/>
    <mergeCell ref="Q42:T42"/>
    <mergeCell ref="B39:Z39"/>
  </mergeCells>
  <dataValidations count="1">
    <dataValidation allowBlank="1" showInputMessage="1" showErrorMessage="1" promptTitle="PAGE SETTINGS" prompt="HIDE THE EMPTY COLUMNS AND EMPTY ROWS TO SET IN THE PAGE &#10;" sqref="B1"/>
  </dataValidations>
  <printOptions horizontalCentered="1" verticalCentered="1"/>
  <pageMargins left="0.33" right="0.6" top="0.53" bottom="0.49" header="0.5" footer="0.5"/>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sheetPr codeName="Sheet11"/>
  <dimension ref="B1:O492"/>
  <sheetViews>
    <sheetView showGridLines="0" zoomScalePageLayoutView="0" workbookViewId="0" topLeftCell="B1">
      <selection activeCell="B1" sqref="B1:N1"/>
    </sheetView>
  </sheetViews>
  <sheetFormatPr defaultColWidth="9.140625" defaultRowHeight="12.75"/>
  <cols>
    <col min="1" max="1" width="1.57421875" style="0" hidden="1" customWidth="1"/>
    <col min="2" max="2" width="3.00390625" style="0" customWidth="1"/>
    <col min="3" max="3" width="5.140625" style="0" customWidth="1"/>
    <col min="4" max="4" width="2.00390625" style="0" customWidth="1"/>
    <col min="5" max="5" width="9.7109375" style="0" customWidth="1"/>
    <col min="6" max="6" width="3.421875" style="0" customWidth="1"/>
    <col min="7" max="7" width="6.57421875" style="0" customWidth="1"/>
    <col min="8" max="8" width="5.57421875" style="0" customWidth="1"/>
    <col min="9" max="9" width="7.140625" style="0" customWidth="1"/>
    <col min="10" max="10" width="5.57421875" style="0" customWidth="1"/>
    <col min="11" max="11" width="7.140625" style="0" customWidth="1"/>
    <col min="12" max="12" width="5.28125" style="0" customWidth="1"/>
    <col min="13" max="13" width="7.00390625" style="0" customWidth="1"/>
    <col min="14" max="14" width="20.140625" style="0" customWidth="1"/>
    <col min="15" max="15" width="9.140625" style="0" hidden="1" customWidth="1"/>
  </cols>
  <sheetData>
    <row r="1" spans="2:15" ht="28.5" customHeight="1" thickBot="1">
      <c r="B1" s="885" t="s">
        <v>127</v>
      </c>
      <c r="C1" s="885"/>
      <c r="D1" s="885"/>
      <c r="E1" s="885"/>
      <c r="F1" s="885"/>
      <c r="G1" s="885"/>
      <c r="H1" s="885"/>
      <c r="I1" s="885"/>
      <c r="J1" s="885"/>
      <c r="K1" s="885"/>
      <c r="L1" s="885"/>
      <c r="M1" s="885"/>
      <c r="N1" s="885"/>
      <c r="O1" s="79"/>
    </row>
    <row r="2" spans="2:15" ht="12.75">
      <c r="B2" s="80"/>
      <c r="C2" s="81"/>
      <c r="D2" s="81"/>
      <c r="E2" s="81"/>
      <c r="F2" s="81"/>
      <c r="G2" s="81"/>
      <c r="H2" s="81"/>
      <c r="I2" s="81"/>
      <c r="J2" s="81"/>
      <c r="K2" s="81"/>
      <c r="L2" s="81"/>
      <c r="M2" s="81"/>
      <c r="N2" s="82"/>
      <c r="O2" s="83"/>
    </row>
    <row r="3" spans="2:15" ht="15" customHeight="1">
      <c r="B3" s="84" t="s">
        <v>2</v>
      </c>
      <c r="C3" s="67" t="s">
        <v>568</v>
      </c>
      <c r="D3" s="67"/>
      <c r="E3" s="67"/>
      <c r="F3" s="67"/>
      <c r="G3" s="67"/>
      <c r="H3" s="67"/>
      <c r="I3" s="67"/>
      <c r="J3" s="67" t="s">
        <v>0</v>
      </c>
      <c r="K3" s="67"/>
      <c r="L3" s="67"/>
      <c r="M3" s="67"/>
      <c r="N3" s="85"/>
      <c r="O3" s="83"/>
    </row>
    <row r="4" spans="2:15" ht="15" customHeight="1">
      <c r="B4" s="84" t="s">
        <v>4</v>
      </c>
      <c r="C4" s="67" t="s">
        <v>128</v>
      </c>
      <c r="D4" s="67"/>
      <c r="E4" s="67"/>
      <c r="F4" s="67"/>
      <c r="G4" s="67"/>
      <c r="H4" s="67"/>
      <c r="I4" s="67"/>
      <c r="J4" s="67" t="s">
        <v>0</v>
      </c>
      <c r="K4" s="67"/>
      <c r="L4" s="67"/>
      <c r="M4" s="67"/>
      <c r="N4" s="85"/>
      <c r="O4" s="83"/>
    </row>
    <row r="5" spans="2:15" ht="15" customHeight="1">
      <c r="B5" s="84" t="s">
        <v>5</v>
      </c>
      <c r="C5" s="67" t="s">
        <v>129</v>
      </c>
      <c r="D5" s="67"/>
      <c r="E5" s="67"/>
      <c r="F5" s="67"/>
      <c r="G5" s="67"/>
      <c r="H5" s="67"/>
      <c r="I5" s="67"/>
      <c r="J5" s="67" t="s">
        <v>0</v>
      </c>
      <c r="K5" s="67"/>
      <c r="L5" s="67"/>
      <c r="M5" s="67"/>
      <c r="N5" s="85"/>
      <c r="O5" s="83"/>
    </row>
    <row r="6" spans="2:15" ht="12.75">
      <c r="B6" s="86"/>
      <c r="C6" s="67"/>
      <c r="D6" s="67"/>
      <c r="E6" s="67"/>
      <c r="F6" s="67"/>
      <c r="G6" s="67"/>
      <c r="H6" s="67"/>
      <c r="I6" s="67"/>
      <c r="J6" s="67"/>
      <c r="K6" s="67"/>
      <c r="L6" s="67"/>
      <c r="M6" s="67"/>
      <c r="N6" s="85"/>
      <c r="O6" s="83"/>
    </row>
    <row r="7" spans="2:15" ht="12.75">
      <c r="B7" s="86"/>
      <c r="C7" s="67"/>
      <c r="D7" s="67"/>
      <c r="E7" s="67"/>
      <c r="F7" s="67"/>
      <c r="G7" s="67"/>
      <c r="H7" s="67"/>
      <c r="I7" s="67"/>
      <c r="J7" s="67"/>
      <c r="K7" s="67"/>
      <c r="L7" s="67"/>
      <c r="M7" s="67"/>
      <c r="N7" s="85"/>
      <c r="O7" s="83"/>
    </row>
    <row r="8" spans="2:15" ht="12.75">
      <c r="B8" s="86"/>
      <c r="C8" s="67"/>
      <c r="D8" s="67"/>
      <c r="E8" s="67"/>
      <c r="F8" s="67"/>
      <c r="G8" s="67"/>
      <c r="H8" s="67"/>
      <c r="I8" s="67"/>
      <c r="J8" s="67"/>
      <c r="K8" s="67"/>
      <c r="L8" s="67"/>
      <c r="M8" s="67"/>
      <c r="N8" s="85"/>
      <c r="O8" s="83"/>
    </row>
    <row r="9" spans="2:15" ht="38.25" customHeight="1" thickBot="1">
      <c r="B9" s="87"/>
      <c r="C9" s="88"/>
      <c r="D9" s="88"/>
      <c r="E9" s="88"/>
      <c r="F9" s="88"/>
      <c r="G9" s="88"/>
      <c r="H9" s="88"/>
      <c r="I9" s="89"/>
      <c r="J9" s="88"/>
      <c r="K9" s="886" t="s">
        <v>115</v>
      </c>
      <c r="L9" s="886"/>
      <c r="M9" s="886"/>
      <c r="N9" s="887"/>
      <c r="O9" s="90"/>
    </row>
    <row r="10" spans="2:15" ht="12.75">
      <c r="B10" s="86"/>
      <c r="C10" s="67"/>
      <c r="D10" s="67"/>
      <c r="E10" s="67"/>
      <c r="F10" s="67"/>
      <c r="G10" s="67"/>
      <c r="H10" s="67"/>
      <c r="I10" s="91"/>
      <c r="J10" s="67"/>
      <c r="K10" s="67"/>
      <c r="L10" s="67"/>
      <c r="M10" s="67"/>
      <c r="N10" s="85"/>
      <c r="O10" s="83"/>
    </row>
    <row r="11" spans="2:15" ht="15">
      <c r="B11" s="86"/>
      <c r="C11" s="67" t="s">
        <v>130</v>
      </c>
      <c r="D11" s="67"/>
      <c r="E11" s="67"/>
      <c r="F11" s="890">
        <f>'47-FRONT'!H57</f>
        <v>0</v>
      </c>
      <c r="G11" s="890"/>
      <c r="H11" s="890"/>
      <c r="I11" s="92"/>
      <c r="J11" s="67"/>
      <c r="K11" s="92"/>
      <c r="L11" s="67"/>
      <c r="M11" s="67"/>
      <c r="N11" s="85"/>
      <c r="O11" s="83"/>
    </row>
    <row r="12" spans="2:15" ht="36.75" customHeight="1">
      <c r="B12" s="86"/>
      <c r="C12" s="888" t="str">
        <f>'BILL-P.F &amp; CASH'!A32</f>
        <v>RUPEES ZERO ONLY</v>
      </c>
      <c r="D12" s="888"/>
      <c r="E12" s="888"/>
      <c r="F12" s="888"/>
      <c r="G12" s="888"/>
      <c r="H12" s="888"/>
      <c r="I12" s="888"/>
      <c r="J12" s="888"/>
      <c r="K12" s="888"/>
      <c r="L12" s="888"/>
      <c r="M12" s="888"/>
      <c r="N12" s="889"/>
      <c r="O12" s="83"/>
    </row>
    <row r="13" spans="2:15" ht="12.75">
      <c r="B13" s="86"/>
      <c r="C13" s="67" t="s">
        <v>131</v>
      </c>
      <c r="D13" s="15"/>
      <c r="E13" s="15"/>
      <c r="F13" s="15"/>
      <c r="G13" s="15"/>
      <c r="H13" s="15"/>
      <c r="I13" s="15"/>
      <c r="J13" s="15"/>
      <c r="K13" s="67"/>
      <c r="L13" s="67"/>
      <c r="M13" s="67"/>
      <c r="N13" s="85"/>
      <c r="O13" s="83"/>
    </row>
    <row r="14" spans="2:15" ht="12.75">
      <c r="B14" s="86"/>
      <c r="C14" s="67" t="s">
        <v>132</v>
      </c>
      <c r="D14" s="67"/>
      <c r="E14" s="67"/>
      <c r="F14" s="67"/>
      <c r="G14" s="67"/>
      <c r="H14" s="67"/>
      <c r="I14" s="67"/>
      <c r="J14" s="67"/>
      <c r="K14" s="67"/>
      <c r="L14" s="67"/>
      <c r="M14" s="67"/>
      <c r="N14" s="85"/>
      <c r="O14" s="83"/>
    </row>
    <row r="15" spans="2:15" ht="12.75">
      <c r="B15" s="86"/>
      <c r="C15" s="67"/>
      <c r="D15" s="67"/>
      <c r="E15" s="67"/>
      <c r="F15" s="67"/>
      <c r="G15" s="67"/>
      <c r="H15" s="67"/>
      <c r="I15" s="67"/>
      <c r="J15" s="67"/>
      <c r="K15" s="67"/>
      <c r="L15" s="67"/>
      <c r="M15" s="67"/>
      <c r="N15" s="85"/>
      <c r="O15" s="83"/>
    </row>
    <row r="16" spans="2:15" ht="12.75">
      <c r="B16" s="86"/>
      <c r="C16" s="67"/>
      <c r="D16" s="67"/>
      <c r="E16" s="67"/>
      <c r="F16" s="67"/>
      <c r="G16" s="67"/>
      <c r="H16" s="67"/>
      <c r="I16" s="67"/>
      <c r="J16" s="67"/>
      <c r="K16" s="67"/>
      <c r="L16" s="67"/>
      <c r="M16" s="67"/>
      <c r="N16" s="85"/>
      <c r="O16" s="83"/>
    </row>
    <row r="17" spans="2:15" ht="12.75">
      <c r="B17" s="86"/>
      <c r="C17" s="67"/>
      <c r="D17" s="67"/>
      <c r="E17" s="67"/>
      <c r="F17" s="67"/>
      <c r="G17" s="67"/>
      <c r="H17" s="67"/>
      <c r="I17" s="67"/>
      <c r="J17" s="67"/>
      <c r="K17" s="67"/>
      <c r="L17" s="67"/>
      <c r="M17" s="67"/>
      <c r="N17" s="85"/>
      <c r="O17" s="83"/>
    </row>
    <row r="18" spans="2:15" ht="38.25" customHeight="1" thickBot="1">
      <c r="B18" s="87"/>
      <c r="C18" s="88" t="s">
        <v>115</v>
      </c>
      <c r="D18" s="88"/>
      <c r="E18" s="88"/>
      <c r="F18" s="88"/>
      <c r="G18" s="88"/>
      <c r="H18" s="88"/>
      <c r="I18" s="88"/>
      <c r="J18" s="88"/>
      <c r="K18" s="886" t="s">
        <v>115</v>
      </c>
      <c r="L18" s="886"/>
      <c r="M18" s="886"/>
      <c r="N18" s="887"/>
      <c r="O18" s="90"/>
    </row>
    <row r="19" spans="2:15" ht="12.75">
      <c r="B19" s="891" t="s">
        <v>133</v>
      </c>
      <c r="C19" s="892"/>
      <c r="D19" s="892"/>
      <c r="E19" s="892"/>
      <c r="F19" s="892"/>
      <c r="G19" s="892"/>
      <c r="H19" s="892"/>
      <c r="I19" s="892"/>
      <c r="J19" s="892"/>
      <c r="K19" s="892"/>
      <c r="L19" s="892"/>
      <c r="M19" s="892"/>
      <c r="N19" s="893"/>
      <c r="O19" s="83"/>
    </row>
    <row r="20" spans="2:15" ht="12.75">
      <c r="B20" s="86"/>
      <c r="C20" s="67"/>
      <c r="D20" s="67"/>
      <c r="E20" s="67"/>
      <c r="F20" s="67"/>
      <c r="G20" s="67"/>
      <c r="H20" s="67"/>
      <c r="I20" s="67"/>
      <c r="J20" s="67"/>
      <c r="K20" s="67"/>
      <c r="L20" s="67"/>
      <c r="M20" s="67"/>
      <c r="N20" s="85"/>
      <c r="O20" s="83"/>
    </row>
    <row r="21" spans="2:15" ht="14.25" customHeight="1">
      <c r="B21" s="93">
        <v>1</v>
      </c>
      <c r="C21" s="877" t="s">
        <v>134</v>
      </c>
      <c r="D21" s="877"/>
      <c r="E21" s="877"/>
      <c r="F21" s="877"/>
      <c r="G21" s="877"/>
      <c r="H21" s="877"/>
      <c r="I21" s="877"/>
      <c r="J21" s="877"/>
      <c r="K21" s="877"/>
      <c r="L21" s="877"/>
      <c r="M21" s="877"/>
      <c r="N21" s="878"/>
      <c r="O21" s="83"/>
    </row>
    <row r="22" spans="2:15" ht="14.25" customHeight="1">
      <c r="B22" s="93">
        <v>2</v>
      </c>
      <c r="C22" s="877" t="s">
        <v>135</v>
      </c>
      <c r="D22" s="877"/>
      <c r="E22" s="877"/>
      <c r="F22" s="877"/>
      <c r="G22" s="877"/>
      <c r="H22" s="877"/>
      <c r="I22" s="877"/>
      <c r="J22" s="877"/>
      <c r="K22" s="877"/>
      <c r="L22" s="877"/>
      <c r="M22" s="877"/>
      <c r="N22" s="878"/>
      <c r="O22" s="83"/>
    </row>
    <row r="23" spans="2:15" ht="14.25" customHeight="1">
      <c r="B23" s="93">
        <v>3</v>
      </c>
      <c r="C23" s="877" t="s">
        <v>136</v>
      </c>
      <c r="D23" s="877"/>
      <c r="E23" s="877"/>
      <c r="F23" s="877"/>
      <c r="G23" s="877"/>
      <c r="H23" s="877"/>
      <c r="I23" s="877"/>
      <c r="J23" s="877"/>
      <c r="K23" s="877"/>
      <c r="L23" s="877"/>
      <c r="M23" s="877"/>
      <c r="N23" s="878"/>
      <c r="O23" s="83"/>
    </row>
    <row r="24" spans="2:15" ht="14.25" customHeight="1">
      <c r="B24" s="93">
        <v>4</v>
      </c>
      <c r="C24" s="877" t="s">
        <v>137</v>
      </c>
      <c r="D24" s="877"/>
      <c r="E24" s="877"/>
      <c r="F24" s="877"/>
      <c r="G24" s="877"/>
      <c r="H24" s="877"/>
      <c r="I24" s="877"/>
      <c r="J24" s="877"/>
      <c r="K24" s="877"/>
      <c r="L24" s="877"/>
      <c r="M24" s="877"/>
      <c r="N24" s="878"/>
      <c r="O24" s="83"/>
    </row>
    <row r="25" spans="2:15" ht="14.25" customHeight="1">
      <c r="B25" s="93">
        <v>5</v>
      </c>
      <c r="C25" s="877" t="s">
        <v>540</v>
      </c>
      <c r="D25" s="877"/>
      <c r="E25" s="877"/>
      <c r="F25" s="877"/>
      <c r="G25" s="877"/>
      <c r="H25" s="877"/>
      <c r="I25" s="877"/>
      <c r="J25" s="877"/>
      <c r="K25" s="877"/>
      <c r="L25" s="877"/>
      <c r="M25" s="877"/>
      <c r="N25" s="878"/>
      <c r="O25" s="83"/>
    </row>
    <row r="26" spans="2:15" ht="14.25" customHeight="1">
      <c r="B26" s="93">
        <v>6</v>
      </c>
      <c r="C26" s="877" t="s">
        <v>539</v>
      </c>
      <c r="D26" s="877"/>
      <c r="E26" s="877"/>
      <c r="F26" s="877"/>
      <c r="G26" s="877"/>
      <c r="H26" s="877"/>
      <c r="I26" s="877"/>
      <c r="J26" s="877"/>
      <c r="K26" s="877"/>
      <c r="L26" s="877"/>
      <c r="M26" s="877"/>
      <c r="N26" s="878"/>
      <c r="O26" s="83"/>
    </row>
    <row r="27" spans="2:15" ht="14.25" customHeight="1">
      <c r="B27" s="93">
        <v>7</v>
      </c>
      <c r="C27" t="s">
        <v>538</v>
      </c>
      <c r="N27" s="45"/>
      <c r="O27" s="83"/>
    </row>
    <row r="28" spans="2:15" ht="14.25" customHeight="1">
      <c r="B28" s="93">
        <v>8</v>
      </c>
      <c r="C28" s="877" t="str">
        <f>CONCATENATE("Certified that the Special pays are claimed in terms of G.O.M.S No.118 Finance  Dept.,")</f>
        <v>Certified that the Special pays are claimed in terms of G.O.M.S No.118 Finance  Dept.,</v>
      </c>
      <c r="D28" s="877"/>
      <c r="E28" s="877"/>
      <c r="F28" s="877"/>
      <c r="G28" s="877"/>
      <c r="H28" s="877"/>
      <c r="I28" s="877"/>
      <c r="J28" s="877"/>
      <c r="K28" s="877"/>
      <c r="L28" s="877"/>
      <c r="M28" s="877"/>
      <c r="N28" s="878"/>
      <c r="O28" s="83"/>
    </row>
    <row r="29" spans="2:15" ht="14.25" customHeight="1">
      <c r="B29" s="93"/>
      <c r="C29" s="877" t="s">
        <v>575</v>
      </c>
      <c r="D29" s="877"/>
      <c r="E29" s="877"/>
      <c r="F29" s="877"/>
      <c r="G29" s="327"/>
      <c r="H29" s="327"/>
      <c r="I29" s="327"/>
      <c r="J29" s="327"/>
      <c r="K29" s="327"/>
      <c r="L29" s="327"/>
      <c r="M29" s="327"/>
      <c r="N29" s="328"/>
      <c r="O29" s="83"/>
    </row>
    <row r="30" spans="2:15" s="94" customFormat="1" ht="12.75" customHeight="1">
      <c r="B30" s="93">
        <v>9</v>
      </c>
      <c r="C30" s="877" t="s">
        <v>459</v>
      </c>
      <c r="D30" s="877"/>
      <c r="E30" s="877"/>
      <c r="F30" s="877"/>
      <c r="G30" s="877"/>
      <c r="H30" s="877"/>
      <c r="I30" s="877"/>
      <c r="J30" s="877"/>
      <c r="K30" s="877"/>
      <c r="L30" s="877"/>
      <c r="M30" s="877"/>
      <c r="N30" s="878"/>
      <c r="O30" s="95"/>
    </row>
    <row r="31" spans="2:15" ht="12.75" customHeight="1">
      <c r="B31" s="93"/>
      <c r="C31" t="s">
        <v>574</v>
      </c>
      <c r="D31" s="327"/>
      <c r="E31" s="327"/>
      <c r="F31" s="327"/>
      <c r="G31" s="356"/>
      <c r="H31" s="884"/>
      <c r="I31" s="877"/>
      <c r="J31" s="327"/>
      <c r="K31" s="327"/>
      <c r="L31" s="327"/>
      <c r="M31" s="327"/>
      <c r="N31" s="328"/>
      <c r="O31" s="83"/>
    </row>
    <row r="32" spans="2:15" ht="12.75">
      <c r="B32" s="84">
        <v>10</v>
      </c>
      <c r="C32" s="877" t="str">
        <f>CONCATENATE("Certified that the Convyance Alwance are claimed in terms of G.O.M.S No.108 Finance  Dept.,")</f>
        <v>Certified that the Convyance Alwance are claimed in terms of G.O.M.S No.108 Finance  Dept.,</v>
      </c>
      <c r="D32" s="877"/>
      <c r="E32" s="877"/>
      <c r="F32" s="877"/>
      <c r="G32" s="877"/>
      <c r="H32" s="877"/>
      <c r="I32" s="877"/>
      <c r="J32" s="877"/>
      <c r="K32" s="877"/>
      <c r="L32" s="877"/>
      <c r="M32" s="877"/>
      <c r="N32" s="878"/>
      <c r="O32" s="83"/>
    </row>
    <row r="33" spans="2:15" ht="12.75">
      <c r="B33" s="86"/>
      <c r="C33" s="67" t="s">
        <v>541</v>
      </c>
      <c r="D33" s="67"/>
      <c r="E33" s="67"/>
      <c r="F33" s="67"/>
      <c r="G33" s="67"/>
      <c r="H33" s="67"/>
      <c r="I33" s="67"/>
      <c r="J33" s="67"/>
      <c r="K33" s="67"/>
      <c r="L33" s="67"/>
      <c r="M33" s="67"/>
      <c r="N33" s="85"/>
      <c r="O33" s="83"/>
    </row>
    <row r="34" spans="2:15" ht="12.75">
      <c r="B34" s="86"/>
      <c r="C34" s="67"/>
      <c r="D34" s="67"/>
      <c r="E34" s="67"/>
      <c r="F34" s="67"/>
      <c r="G34" s="67"/>
      <c r="H34" s="67"/>
      <c r="I34" s="67"/>
      <c r="J34" s="67"/>
      <c r="K34" s="67"/>
      <c r="L34" s="67"/>
      <c r="M34" s="67"/>
      <c r="N34" s="85"/>
      <c r="O34" s="83"/>
    </row>
    <row r="35" spans="2:15" ht="27.75" customHeight="1">
      <c r="B35" s="86"/>
      <c r="C35" s="67"/>
      <c r="D35" s="67"/>
      <c r="E35" s="67"/>
      <c r="F35" s="67"/>
      <c r="G35" s="67"/>
      <c r="H35" s="67"/>
      <c r="I35" s="67"/>
      <c r="J35" s="67"/>
      <c r="K35" s="67"/>
      <c r="L35" s="67"/>
      <c r="M35" s="67"/>
      <c r="N35" s="85"/>
      <c r="O35" s="83"/>
    </row>
    <row r="36" spans="2:15" ht="16.5" customHeight="1">
      <c r="B36" s="86"/>
      <c r="C36" s="67"/>
      <c r="D36" s="67"/>
      <c r="E36" s="67"/>
      <c r="F36" s="67"/>
      <c r="G36" s="67"/>
      <c r="H36" s="67"/>
      <c r="I36" s="879" t="s">
        <v>138</v>
      </c>
      <c r="J36" s="879"/>
      <c r="K36" s="879"/>
      <c r="L36" s="879"/>
      <c r="M36" s="879"/>
      <c r="N36" s="880"/>
      <c r="O36" s="90"/>
    </row>
    <row r="37" spans="2:15" ht="12.75">
      <c r="B37" s="86"/>
      <c r="C37" s="67"/>
      <c r="D37" s="67"/>
      <c r="E37" s="67"/>
      <c r="F37" s="67"/>
      <c r="G37" s="67"/>
      <c r="H37" s="67"/>
      <c r="I37" s="67"/>
      <c r="J37" s="67"/>
      <c r="K37" s="67"/>
      <c r="L37" s="67"/>
      <c r="M37" s="67"/>
      <c r="N37" s="85"/>
      <c r="O37" s="83"/>
    </row>
    <row r="38" spans="2:15" ht="13.5" thickBot="1">
      <c r="B38" s="881" t="s">
        <v>139</v>
      </c>
      <c r="C38" s="882"/>
      <c r="D38" s="882"/>
      <c r="E38" s="882"/>
      <c r="F38" s="882"/>
      <c r="G38" s="882"/>
      <c r="H38" s="882"/>
      <c r="I38" s="882"/>
      <c r="J38" s="882"/>
      <c r="K38" s="882"/>
      <c r="L38" s="882"/>
      <c r="M38" s="882"/>
      <c r="N38" s="883"/>
      <c r="O38" s="83"/>
    </row>
    <row r="39" spans="2:15" ht="12.75">
      <c r="B39" s="86"/>
      <c r="C39" s="67"/>
      <c r="D39" s="67"/>
      <c r="E39" s="67"/>
      <c r="F39" s="67"/>
      <c r="G39" s="67"/>
      <c r="H39" s="67"/>
      <c r="I39" s="67"/>
      <c r="J39" s="67"/>
      <c r="K39" s="67"/>
      <c r="L39" s="67"/>
      <c r="M39" s="67"/>
      <c r="N39" s="85"/>
      <c r="O39" s="83"/>
    </row>
    <row r="40" spans="2:15" ht="12.75">
      <c r="B40" s="86"/>
      <c r="C40" s="67"/>
      <c r="D40" s="67"/>
      <c r="E40" s="67"/>
      <c r="F40" s="67"/>
      <c r="G40" s="67"/>
      <c r="H40" s="67"/>
      <c r="I40" s="67"/>
      <c r="J40" s="67"/>
      <c r="K40" s="67"/>
      <c r="L40" s="67"/>
      <c r="M40" s="67"/>
      <c r="N40" s="85"/>
      <c r="O40" s="83"/>
    </row>
    <row r="41" spans="2:15" ht="12.75">
      <c r="B41" s="86"/>
      <c r="C41" s="67"/>
      <c r="D41" s="67"/>
      <c r="E41" s="67"/>
      <c r="F41" s="67"/>
      <c r="G41" s="67"/>
      <c r="H41" s="67"/>
      <c r="I41" s="67"/>
      <c r="J41" s="67"/>
      <c r="K41" s="67"/>
      <c r="L41" s="67"/>
      <c r="M41" s="67"/>
      <c r="N41" s="85"/>
      <c r="O41" s="83"/>
    </row>
    <row r="42" spans="2:15" ht="12.75">
      <c r="B42" s="86"/>
      <c r="C42" s="67"/>
      <c r="D42" s="67"/>
      <c r="E42" s="67"/>
      <c r="F42" s="67"/>
      <c r="G42" s="67"/>
      <c r="H42" s="67"/>
      <c r="I42" s="67"/>
      <c r="J42" s="67"/>
      <c r="K42" s="67"/>
      <c r="L42" s="67"/>
      <c r="M42" s="67"/>
      <c r="N42" s="85"/>
      <c r="O42" s="83"/>
    </row>
    <row r="43" spans="2:15" ht="12.75">
      <c r="B43" s="86"/>
      <c r="C43" s="67"/>
      <c r="D43" s="67"/>
      <c r="E43" s="67"/>
      <c r="F43" s="67"/>
      <c r="G43" s="67"/>
      <c r="H43" s="67"/>
      <c r="I43" s="67"/>
      <c r="J43" s="67"/>
      <c r="K43" s="67"/>
      <c r="L43" s="67"/>
      <c r="M43" s="67"/>
      <c r="N43" s="85"/>
      <c r="O43" s="83"/>
    </row>
    <row r="44" spans="2:15" ht="12.75">
      <c r="B44" s="86"/>
      <c r="C44" s="67"/>
      <c r="D44" s="67"/>
      <c r="E44" s="67"/>
      <c r="F44" s="67"/>
      <c r="G44" s="67"/>
      <c r="H44" s="67"/>
      <c r="I44" s="67"/>
      <c r="J44" s="67"/>
      <c r="K44" s="67"/>
      <c r="L44" s="67"/>
      <c r="M44" s="67"/>
      <c r="N44" s="85"/>
      <c r="O44" s="83"/>
    </row>
    <row r="45" spans="2:15" ht="12.75">
      <c r="B45" s="86"/>
      <c r="C45" s="67"/>
      <c r="D45" s="67"/>
      <c r="E45" s="67"/>
      <c r="F45" s="67"/>
      <c r="G45" s="67"/>
      <c r="H45" s="67"/>
      <c r="I45" s="67"/>
      <c r="J45" s="67"/>
      <c r="K45" s="67"/>
      <c r="L45" s="67"/>
      <c r="M45" s="67"/>
      <c r="N45" s="85"/>
      <c r="O45" s="83"/>
    </row>
    <row r="46" spans="2:15" ht="12.75">
      <c r="B46" s="86"/>
      <c r="C46" s="67"/>
      <c r="D46" s="67"/>
      <c r="E46" s="67"/>
      <c r="F46" s="67"/>
      <c r="G46" s="67"/>
      <c r="H46" s="67"/>
      <c r="I46" s="67"/>
      <c r="J46" s="67"/>
      <c r="K46" s="67"/>
      <c r="L46" s="67"/>
      <c r="M46" s="67"/>
      <c r="N46" s="85"/>
      <c r="O46" s="83"/>
    </row>
    <row r="47" spans="2:15" ht="12.75">
      <c r="B47" s="86"/>
      <c r="C47" s="67"/>
      <c r="D47" s="67"/>
      <c r="E47" s="67"/>
      <c r="F47" s="67"/>
      <c r="G47" s="67"/>
      <c r="H47" s="67"/>
      <c r="I47" s="67"/>
      <c r="J47" s="67"/>
      <c r="K47" s="67"/>
      <c r="L47" s="67"/>
      <c r="M47" s="67"/>
      <c r="N47" s="85"/>
      <c r="O47" s="83"/>
    </row>
    <row r="48" spans="2:15" ht="12.75">
      <c r="B48" s="86"/>
      <c r="C48" s="67"/>
      <c r="D48" s="67"/>
      <c r="E48" s="67"/>
      <c r="F48" s="67"/>
      <c r="G48" s="67"/>
      <c r="H48" s="67"/>
      <c r="I48" s="67"/>
      <c r="J48" s="67"/>
      <c r="K48" s="67"/>
      <c r="L48" s="67"/>
      <c r="M48" s="67"/>
      <c r="N48" s="85"/>
      <c r="O48" s="83"/>
    </row>
    <row r="49" spans="2:15" ht="12.75">
      <c r="B49" s="86"/>
      <c r="C49" s="67"/>
      <c r="D49" s="67"/>
      <c r="E49" s="67"/>
      <c r="F49" s="67"/>
      <c r="G49" s="67"/>
      <c r="H49" s="67"/>
      <c r="I49" s="67"/>
      <c r="J49" s="67"/>
      <c r="K49" s="67"/>
      <c r="L49" s="67"/>
      <c r="M49" s="67"/>
      <c r="N49" s="85"/>
      <c r="O49" s="83"/>
    </row>
    <row r="50" spans="2:15" ht="12.75" customHeight="1" thickBot="1">
      <c r="B50" s="86"/>
      <c r="C50" s="67"/>
      <c r="D50" s="67"/>
      <c r="E50" s="67"/>
      <c r="F50" s="67"/>
      <c r="G50" s="67"/>
      <c r="H50" s="67"/>
      <c r="I50" s="67"/>
      <c r="J50" s="67"/>
      <c r="K50" s="67"/>
      <c r="L50" s="67"/>
      <c r="M50" s="67"/>
      <c r="N50" s="96"/>
      <c r="O50" s="97"/>
    </row>
    <row r="51" spans="2:14" ht="12.75">
      <c r="B51" s="46"/>
      <c r="C51" s="33"/>
      <c r="D51" s="33"/>
      <c r="E51" s="33"/>
      <c r="F51" s="33"/>
      <c r="G51" s="33"/>
      <c r="H51" s="33"/>
      <c r="I51" s="33"/>
      <c r="J51" s="33"/>
      <c r="K51" s="33"/>
      <c r="L51" s="33"/>
      <c r="M51" s="33"/>
      <c r="N51" s="47"/>
    </row>
    <row r="52" spans="2:14" ht="12.75">
      <c r="B52" s="98"/>
      <c r="C52" s="15"/>
      <c r="D52" s="15"/>
      <c r="E52" s="15"/>
      <c r="F52" s="15"/>
      <c r="G52" s="15"/>
      <c r="H52" s="15"/>
      <c r="I52" s="15"/>
      <c r="J52" s="15"/>
      <c r="K52" s="15"/>
      <c r="L52" s="15"/>
      <c r="M52" s="15"/>
      <c r="N52" s="45"/>
    </row>
    <row r="53" spans="2:14" ht="12.75">
      <c r="B53" s="98"/>
      <c r="C53" s="15"/>
      <c r="D53" s="15"/>
      <c r="E53" s="15"/>
      <c r="F53" s="15"/>
      <c r="G53" s="15"/>
      <c r="H53" s="15"/>
      <c r="I53" s="15"/>
      <c r="J53" s="15"/>
      <c r="K53" s="15"/>
      <c r="L53" s="15"/>
      <c r="M53" s="15"/>
      <c r="N53" s="45"/>
    </row>
    <row r="54" spans="2:14" ht="12.75">
      <c r="B54" s="98"/>
      <c r="C54" s="15"/>
      <c r="D54" s="15"/>
      <c r="E54" s="15"/>
      <c r="F54" s="15"/>
      <c r="G54" s="15"/>
      <c r="H54" s="15"/>
      <c r="I54" s="15"/>
      <c r="J54" s="15"/>
      <c r="K54" s="15"/>
      <c r="L54" s="15"/>
      <c r="M54" s="15"/>
      <c r="N54" s="45"/>
    </row>
    <row r="55" spans="2:14" ht="10.5" customHeight="1" thickBot="1">
      <c r="B55" s="99"/>
      <c r="C55" s="77"/>
      <c r="D55" s="77"/>
      <c r="E55" s="77"/>
      <c r="F55" s="77"/>
      <c r="G55" s="77"/>
      <c r="H55" s="77"/>
      <c r="I55" s="77"/>
      <c r="J55" s="77"/>
      <c r="K55" s="77"/>
      <c r="L55" s="77"/>
      <c r="M55" s="77"/>
      <c r="N55" s="100"/>
    </row>
    <row r="140" spans="2:15" ht="12.75">
      <c r="B140" s="101"/>
      <c r="C140" s="101"/>
      <c r="D140" s="101"/>
      <c r="E140" s="101"/>
      <c r="F140" s="101"/>
      <c r="G140" s="101"/>
      <c r="H140" s="101"/>
      <c r="I140" s="101"/>
      <c r="J140" s="101"/>
      <c r="K140" s="101"/>
      <c r="L140" s="101"/>
      <c r="M140" s="101"/>
      <c r="N140" s="101"/>
      <c r="O140" s="101"/>
    </row>
    <row r="141" spans="2:15" ht="12.75">
      <c r="B141" s="101"/>
      <c r="C141" s="101"/>
      <c r="D141" s="101"/>
      <c r="E141" s="101"/>
      <c r="F141" s="101"/>
      <c r="G141" s="101"/>
      <c r="H141" s="101"/>
      <c r="I141" s="101"/>
      <c r="J141" s="101"/>
      <c r="K141" s="101"/>
      <c r="L141" s="101"/>
      <c r="M141" s="101"/>
      <c r="N141" s="101"/>
      <c r="O141" s="101"/>
    </row>
    <row r="142" spans="2:15" ht="12.75">
      <c r="B142" s="101"/>
      <c r="C142" s="101"/>
      <c r="D142" s="101"/>
      <c r="E142" s="101"/>
      <c r="F142" s="101"/>
      <c r="G142" s="101"/>
      <c r="H142" s="101"/>
      <c r="I142" s="101"/>
      <c r="J142" s="101"/>
      <c r="K142" s="101"/>
      <c r="L142" s="101"/>
      <c r="M142" s="101"/>
      <c r="N142" s="101"/>
      <c r="O142" s="101"/>
    </row>
    <row r="143" spans="2:15" ht="12.75">
      <c r="B143" s="101"/>
      <c r="C143" s="101"/>
      <c r="D143" s="101"/>
      <c r="E143" s="101"/>
      <c r="F143" s="101"/>
      <c r="G143" s="101"/>
      <c r="H143" s="101"/>
      <c r="I143" s="101"/>
      <c r="J143" s="101"/>
      <c r="K143" s="101"/>
      <c r="L143" s="101"/>
      <c r="M143" s="101"/>
      <c r="N143" s="101"/>
      <c r="O143" s="101"/>
    </row>
    <row r="144" spans="2:15" ht="12.75">
      <c r="B144" s="101"/>
      <c r="C144" s="101"/>
      <c r="D144" s="101"/>
      <c r="E144" s="101"/>
      <c r="F144" s="101"/>
      <c r="G144" s="101"/>
      <c r="H144" s="101"/>
      <c r="I144" s="101"/>
      <c r="J144" s="101"/>
      <c r="K144" s="101"/>
      <c r="L144" s="101"/>
      <c r="M144" s="101"/>
      <c r="N144" s="101"/>
      <c r="O144" s="101"/>
    </row>
    <row r="145" spans="2:15" ht="12.75">
      <c r="B145" s="101"/>
      <c r="C145" s="101"/>
      <c r="D145" s="101"/>
      <c r="E145" s="101"/>
      <c r="F145" s="101"/>
      <c r="G145" s="101"/>
      <c r="H145" s="101"/>
      <c r="I145" s="101"/>
      <c r="J145" s="101"/>
      <c r="K145" s="101"/>
      <c r="L145" s="101"/>
      <c r="M145" s="101"/>
      <c r="N145" s="101"/>
      <c r="O145" s="101"/>
    </row>
    <row r="146" spans="2:15" ht="12.75">
      <c r="B146" s="101"/>
      <c r="C146" s="101"/>
      <c r="D146" s="101"/>
      <c r="E146" s="101"/>
      <c r="F146" s="101"/>
      <c r="G146" s="101"/>
      <c r="H146" s="101"/>
      <c r="I146" s="101"/>
      <c r="J146" s="101"/>
      <c r="K146" s="101"/>
      <c r="L146" s="101"/>
      <c r="M146" s="101"/>
      <c r="N146" s="101"/>
      <c r="O146" s="101"/>
    </row>
    <row r="147" spans="2:15" ht="12.75">
      <c r="B147" s="101"/>
      <c r="C147" s="101"/>
      <c r="D147" s="101"/>
      <c r="E147" s="101"/>
      <c r="F147" s="101"/>
      <c r="G147" s="101"/>
      <c r="H147" s="101"/>
      <c r="I147" s="101"/>
      <c r="J147" s="101"/>
      <c r="K147" s="101"/>
      <c r="L147" s="101"/>
      <c r="M147" s="101"/>
      <c r="N147" s="101"/>
      <c r="O147" s="101"/>
    </row>
    <row r="148" spans="2:15" ht="12.75">
      <c r="B148" s="101"/>
      <c r="C148" s="101"/>
      <c r="D148" s="101"/>
      <c r="E148" s="101"/>
      <c r="F148" s="101"/>
      <c r="G148" s="101"/>
      <c r="H148" s="101"/>
      <c r="I148" s="101"/>
      <c r="J148" s="101"/>
      <c r="K148" s="101"/>
      <c r="L148" s="101"/>
      <c r="M148" s="101"/>
      <c r="N148" s="101"/>
      <c r="O148" s="101"/>
    </row>
    <row r="149" spans="2:15" ht="12.75">
      <c r="B149" s="101"/>
      <c r="C149" s="101"/>
      <c r="D149" s="101"/>
      <c r="E149" s="101"/>
      <c r="F149" s="101"/>
      <c r="G149" s="101"/>
      <c r="H149" s="101"/>
      <c r="I149" s="101"/>
      <c r="J149" s="101"/>
      <c r="K149" s="101"/>
      <c r="L149" s="101"/>
      <c r="M149" s="101"/>
      <c r="N149" s="101"/>
      <c r="O149" s="101"/>
    </row>
    <row r="150" spans="2:15" ht="12.75">
      <c r="B150" s="101"/>
      <c r="C150" s="101"/>
      <c r="D150" s="101"/>
      <c r="E150" s="101"/>
      <c r="F150" s="101"/>
      <c r="G150" s="101"/>
      <c r="H150" s="101"/>
      <c r="I150" s="101"/>
      <c r="J150" s="101"/>
      <c r="K150" s="101"/>
      <c r="L150" s="101"/>
      <c r="M150" s="101"/>
      <c r="N150" s="101"/>
      <c r="O150" s="101"/>
    </row>
    <row r="151" spans="2:15" ht="12.75">
      <c r="B151" s="101"/>
      <c r="C151" s="101"/>
      <c r="D151" s="101"/>
      <c r="E151" s="101"/>
      <c r="F151" s="101"/>
      <c r="G151" s="101"/>
      <c r="H151" s="101"/>
      <c r="I151" s="101"/>
      <c r="J151" s="101"/>
      <c r="K151" s="101"/>
      <c r="L151" s="101"/>
      <c r="M151" s="101"/>
      <c r="N151" s="101"/>
      <c r="O151" s="101"/>
    </row>
    <row r="152" spans="2:15" ht="12.75">
      <c r="B152" s="101"/>
      <c r="C152" s="101"/>
      <c r="D152" s="101"/>
      <c r="E152" s="101"/>
      <c r="F152" s="101"/>
      <c r="G152" s="101"/>
      <c r="H152" s="101"/>
      <c r="I152" s="101"/>
      <c r="J152" s="101"/>
      <c r="K152" s="101"/>
      <c r="L152" s="101"/>
      <c r="M152" s="101"/>
      <c r="N152" s="101"/>
      <c r="O152" s="101"/>
    </row>
    <row r="153" spans="2:15" ht="12.75">
      <c r="B153" s="101"/>
      <c r="C153" s="101"/>
      <c r="D153" s="101"/>
      <c r="E153" s="101"/>
      <c r="F153" s="101"/>
      <c r="G153" s="101"/>
      <c r="H153" s="101"/>
      <c r="I153" s="101"/>
      <c r="J153" s="101"/>
      <c r="K153" s="101"/>
      <c r="L153" s="101"/>
      <c r="M153" s="101"/>
      <c r="N153" s="101"/>
      <c r="O153" s="101"/>
    </row>
    <row r="154" spans="2:15" ht="12.75">
      <c r="B154" s="101"/>
      <c r="C154" s="101"/>
      <c r="D154" s="101"/>
      <c r="E154" s="101"/>
      <c r="F154" s="101"/>
      <c r="G154" s="101"/>
      <c r="H154" s="101"/>
      <c r="I154" s="101"/>
      <c r="J154" s="101"/>
      <c r="K154" s="101"/>
      <c r="L154" s="101"/>
      <c r="M154" s="101"/>
      <c r="N154" s="101"/>
      <c r="O154" s="101"/>
    </row>
    <row r="155" spans="2:15" ht="12.75">
      <c r="B155" s="101"/>
      <c r="C155" s="101"/>
      <c r="D155" s="101"/>
      <c r="E155" s="101"/>
      <c r="F155" s="101"/>
      <c r="G155" s="101"/>
      <c r="H155" s="101"/>
      <c r="I155" s="101"/>
      <c r="J155" s="101"/>
      <c r="K155" s="101"/>
      <c r="L155" s="101"/>
      <c r="M155" s="101"/>
      <c r="N155" s="101"/>
      <c r="O155" s="101"/>
    </row>
    <row r="156" spans="2:15" ht="12.75">
      <c r="B156" s="101"/>
      <c r="C156" s="101"/>
      <c r="D156" s="101"/>
      <c r="E156" s="101"/>
      <c r="F156" s="101"/>
      <c r="G156" s="101"/>
      <c r="H156" s="101"/>
      <c r="I156" s="101"/>
      <c r="J156" s="101"/>
      <c r="K156" s="101"/>
      <c r="L156" s="101"/>
      <c r="M156" s="101"/>
      <c r="N156" s="101"/>
      <c r="O156" s="101"/>
    </row>
    <row r="157" spans="2:15" ht="12.75">
      <c r="B157" s="101"/>
      <c r="C157" s="101"/>
      <c r="D157" s="101"/>
      <c r="E157" s="101"/>
      <c r="F157" s="101"/>
      <c r="G157" s="101"/>
      <c r="H157" s="101"/>
      <c r="I157" s="101"/>
      <c r="J157" s="101"/>
      <c r="K157" s="101"/>
      <c r="L157" s="101"/>
      <c r="M157" s="101"/>
      <c r="N157" s="101"/>
      <c r="O157" s="101"/>
    </row>
    <row r="158" spans="2:15" ht="12.75">
      <c r="B158" s="101"/>
      <c r="C158" s="101"/>
      <c r="D158" s="101"/>
      <c r="E158" s="101"/>
      <c r="F158" s="101"/>
      <c r="G158" s="101"/>
      <c r="H158" s="101"/>
      <c r="I158" s="101"/>
      <c r="J158" s="101"/>
      <c r="K158" s="101"/>
      <c r="L158" s="101"/>
      <c r="M158" s="101"/>
      <c r="N158" s="101"/>
      <c r="O158" s="101"/>
    </row>
    <row r="159" spans="2:15" ht="12.75">
      <c r="B159" s="101"/>
      <c r="C159" s="101"/>
      <c r="D159" s="101"/>
      <c r="E159" s="101"/>
      <c r="F159" s="101"/>
      <c r="G159" s="101"/>
      <c r="H159" s="101"/>
      <c r="I159" s="101"/>
      <c r="J159" s="101"/>
      <c r="K159" s="101"/>
      <c r="L159" s="101"/>
      <c r="M159" s="101"/>
      <c r="N159" s="101"/>
      <c r="O159" s="101"/>
    </row>
    <row r="160" spans="2:15" ht="12.75">
      <c r="B160" s="101"/>
      <c r="C160" s="101"/>
      <c r="D160" s="101"/>
      <c r="E160" s="101"/>
      <c r="F160" s="101"/>
      <c r="G160" s="101"/>
      <c r="H160" s="101"/>
      <c r="I160" s="101"/>
      <c r="J160" s="101"/>
      <c r="K160" s="101"/>
      <c r="L160" s="101"/>
      <c r="M160" s="101"/>
      <c r="N160" s="101"/>
      <c r="O160" s="101"/>
    </row>
    <row r="161" spans="2:15" ht="12.75">
      <c r="B161" s="101"/>
      <c r="C161" s="101"/>
      <c r="D161" s="101"/>
      <c r="E161" s="101"/>
      <c r="F161" s="101"/>
      <c r="G161" s="101"/>
      <c r="H161" s="101"/>
      <c r="I161" s="101"/>
      <c r="J161" s="101"/>
      <c r="K161" s="101"/>
      <c r="L161" s="101"/>
      <c r="M161" s="101"/>
      <c r="N161" s="101"/>
      <c r="O161" s="101"/>
    </row>
    <row r="162" spans="2:15" ht="12.75">
      <c r="B162" s="101"/>
      <c r="C162" s="101"/>
      <c r="D162" s="101"/>
      <c r="E162" s="101"/>
      <c r="F162" s="101"/>
      <c r="G162" s="101"/>
      <c r="H162" s="101"/>
      <c r="I162" s="101"/>
      <c r="J162" s="101"/>
      <c r="K162" s="101"/>
      <c r="L162" s="101"/>
      <c r="M162" s="101"/>
      <c r="N162" s="101"/>
      <c r="O162" s="101"/>
    </row>
    <row r="163" spans="2:15" ht="12.75">
      <c r="B163" s="101"/>
      <c r="C163" s="101"/>
      <c r="D163" s="101"/>
      <c r="E163" s="101"/>
      <c r="F163" s="101"/>
      <c r="G163" s="101"/>
      <c r="H163" s="101"/>
      <c r="I163" s="101"/>
      <c r="J163" s="101"/>
      <c r="K163" s="101"/>
      <c r="L163" s="101"/>
      <c r="M163" s="101"/>
      <c r="N163" s="101"/>
      <c r="O163" s="101"/>
    </row>
    <row r="164" spans="2:15" ht="12.75">
      <c r="B164" s="101"/>
      <c r="C164" s="101"/>
      <c r="D164" s="101"/>
      <c r="E164" s="101"/>
      <c r="F164" s="101"/>
      <c r="G164" s="101"/>
      <c r="H164" s="101"/>
      <c r="I164" s="101"/>
      <c r="J164" s="101"/>
      <c r="K164" s="101"/>
      <c r="L164" s="101"/>
      <c r="M164" s="101"/>
      <c r="N164" s="101"/>
      <c r="O164" s="101"/>
    </row>
    <row r="165" spans="2:15" ht="12.75">
      <c r="B165" s="101"/>
      <c r="C165" s="101"/>
      <c r="D165" s="101"/>
      <c r="E165" s="101"/>
      <c r="F165" s="101"/>
      <c r="G165" s="101"/>
      <c r="H165" s="101"/>
      <c r="I165" s="101"/>
      <c r="J165" s="101"/>
      <c r="K165" s="101"/>
      <c r="L165" s="101"/>
      <c r="M165" s="101"/>
      <c r="N165" s="101"/>
      <c r="O165" s="101"/>
    </row>
    <row r="166" spans="2:15" ht="12.75">
      <c r="B166" s="101"/>
      <c r="C166" s="101"/>
      <c r="D166" s="101"/>
      <c r="E166" s="101"/>
      <c r="F166" s="101"/>
      <c r="G166" s="101"/>
      <c r="H166" s="101"/>
      <c r="I166" s="101"/>
      <c r="J166" s="101"/>
      <c r="K166" s="101"/>
      <c r="L166" s="101"/>
      <c r="M166" s="101"/>
      <c r="N166" s="101"/>
      <c r="O166" s="101"/>
    </row>
    <row r="167" spans="2:15" ht="12.75">
      <c r="B167" s="101"/>
      <c r="C167" s="101"/>
      <c r="D167" s="101"/>
      <c r="E167" s="101"/>
      <c r="F167" s="101"/>
      <c r="G167" s="101"/>
      <c r="H167" s="101"/>
      <c r="I167" s="101"/>
      <c r="J167" s="101"/>
      <c r="K167" s="101"/>
      <c r="L167" s="101"/>
      <c r="M167" s="101"/>
      <c r="N167" s="101"/>
      <c r="O167" s="101"/>
    </row>
    <row r="168" spans="2:15" ht="12.75">
      <c r="B168" s="101"/>
      <c r="C168" s="101"/>
      <c r="D168" s="101"/>
      <c r="E168" s="101"/>
      <c r="F168" s="101"/>
      <c r="G168" s="101"/>
      <c r="H168" s="101"/>
      <c r="I168" s="101"/>
      <c r="J168" s="101"/>
      <c r="K168" s="101"/>
      <c r="L168" s="101"/>
      <c r="M168" s="101"/>
      <c r="N168" s="101"/>
      <c r="O168" s="101"/>
    </row>
    <row r="169" spans="2:15" ht="12.75">
      <c r="B169" s="101"/>
      <c r="C169" s="101"/>
      <c r="D169" s="101"/>
      <c r="E169" s="101"/>
      <c r="F169" s="101"/>
      <c r="G169" s="101"/>
      <c r="H169" s="101"/>
      <c r="I169" s="101"/>
      <c r="J169" s="101"/>
      <c r="K169" s="101"/>
      <c r="L169" s="101"/>
      <c r="M169" s="101"/>
      <c r="N169" s="101"/>
      <c r="O169" s="101"/>
    </row>
    <row r="170" spans="2:15" ht="12.75">
      <c r="B170" s="101"/>
      <c r="C170" s="101"/>
      <c r="D170" s="101"/>
      <c r="E170" s="101"/>
      <c r="F170" s="101"/>
      <c r="G170" s="101"/>
      <c r="H170" s="101"/>
      <c r="I170" s="101"/>
      <c r="J170" s="101"/>
      <c r="K170" s="101"/>
      <c r="L170" s="101"/>
      <c r="M170" s="101"/>
      <c r="N170" s="101"/>
      <c r="O170" s="101"/>
    </row>
    <row r="171" spans="2:15" ht="12.75">
      <c r="B171" s="101"/>
      <c r="C171" s="101"/>
      <c r="D171" s="101"/>
      <c r="E171" s="101"/>
      <c r="F171" s="101"/>
      <c r="G171" s="101"/>
      <c r="H171" s="101"/>
      <c r="I171" s="101"/>
      <c r="J171" s="101"/>
      <c r="K171" s="101"/>
      <c r="L171" s="101"/>
      <c r="M171" s="101"/>
      <c r="N171" s="101"/>
      <c r="O171" s="101"/>
    </row>
    <row r="172" spans="2:15" ht="12.75">
      <c r="B172" s="101"/>
      <c r="C172" s="101"/>
      <c r="D172" s="101"/>
      <c r="E172" s="101"/>
      <c r="F172" s="101"/>
      <c r="G172" s="101"/>
      <c r="H172" s="101"/>
      <c r="I172" s="101"/>
      <c r="J172" s="101"/>
      <c r="K172" s="101"/>
      <c r="L172" s="101"/>
      <c r="M172" s="101"/>
      <c r="N172" s="101"/>
      <c r="O172" s="101"/>
    </row>
    <row r="173" spans="2:15" ht="12.75">
      <c r="B173" s="101"/>
      <c r="C173" s="101"/>
      <c r="D173" s="101"/>
      <c r="E173" s="101"/>
      <c r="F173" s="101"/>
      <c r="G173" s="101"/>
      <c r="H173" s="101"/>
      <c r="I173" s="101"/>
      <c r="J173" s="101"/>
      <c r="K173" s="101"/>
      <c r="L173" s="101"/>
      <c r="M173" s="101"/>
      <c r="N173" s="101"/>
      <c r="O173" s="101"/>
    </row>
    <row r="174" spans="2:15" ht="12.75">
      <c r="B174" s="101"/>
      <c r="C174" s="101"/>
      <c r="D174" s="101"/>
      <c r="E174" s="101"/>
      <c r="F174" s="101"/>
      <c r="G174" s="101"/>
      <c r="H174" s="101"/>
      <c r="I174" s="101"/>
      <c r="J174" s="101"/>
      <c r="K174" s="101"/>
      <c r="L174" s="101"/>
      <c r="M174" s="101"/>
      <c r="N174" s="101"/>
      <c r="O174" s="101"/>
    </row>
    <row r="175" spans="2:15" ht="12.75">
      <c r="B175" s="101"/>
      <c r="C175" s="101"/>
      <c r="D175" s="101"/>
      <c r="E175" s="101"/>
      <c r="F175" s="101"/>
      <c r="G175" s="101"/>
      <c r="H175" s="101"/>
      <c r="I175" s="101"/>
      <c r="J175" s="101"/>
      <c r="K175" s="101"/>
      <c r="L175" s="101"/>
      <c r="M175" s="101"/>
      <c r="N175" s="101"/>
      <c r="O175" s="101"/>
    </row>
    <row r="176" spans="2:15" ht="12.75">
      <c r="B176" s="101"/>
      <c r="C176" s="101"/>
      <c r="D176" s="101"/>
      <c r="E176" s="101"/>
      <c r="F176" s="101"/>
      <c r="G176" s="101"/>
      <c r="H176" s="101"/>
      <c r="I176" s="101"/>
      <c r="J176" s="101"/>
      <c r="K176" s="101"/>
      <c r="L176" s="101"/>
      <c r="M176" s="101"/>
      <c r="N176" s="101"/>
      <c r="O176" s="101"/>
    </row>
    <row r="177" spans="2:15" ht="12.75">
      <c r="B177" s="101"/>
      <c r="C177" s="101"/>
      <c r="D177" s="101"/>
      <c r="E177" s="101"/>
      <c r="F177" s="101"/>
      <c r="G177" s="101"/>
      <c r="H177" s="101"/>
      <c r="I177" s="101"/>
      <c r="J177" s="101"/>
      <c r="K177" s="101"/>
      <c r="L177" s="101"/>
      <c r="M177" s="101"/>
      <c r="N177" s="101"/>
      <c r="O177" s="101"/>
    </row>
    <row r="178" spans="2:15" ht="12.75">
      <c r="B178" s="101"/>
      <c r="C178" s="101"/>
      <c r="D178" s="101"/>
      <c r="E178" s="101"/>
      <c r="F178" s="101"/>
      <c r="G178" s="101"/>
      <c r="H178" s="101"/>
      <c r="I178" s="101"/>
      <c r="J178" s="101"/>
      <c r="K178" s="101"/>
      <c r="L178" s="101"/>
      <c r="M178" s="101"/>
      <c r="N178" s="101"/>
      <c r="O178" s="101"/>
    </row>
    <row r="179" spans="2:15" ht="12.75">
      <c r="B179" s="101"/>
      <c r="C179" s="101"/>
      <c r="D179" s="101"/>
      <c r="E179" s="101"/>
      <c r="F179" s="101"/>
      <c r="G179" s="101"/>
      <c r="H179" s="101"/>
      <c r="I179" s="101"/>
      <c r="J179" s="101"/>
      <c r="K179" s="101"/>
      <c r="L179" s="101"/>
      <c r="M179" s="101"/>
      <c r="N179" s="101"/>
      <c r="O179" s="101"/>
    </row>
    <row r="180" spans="2:15" ht="12.75">
      <c r="B180" s="101"/>
      <c r="C180" s="101"/>
      <c r="D180" s="101"/>
      <c r="E180" s="101"/>
      <c r="F180" s="101"/>
      <c r="G180" s="101"/>
      <c r="H180" s="101"/>
      <c r="I180" s="101"/>
      <c r="J180" s="101"/>
      <c r="K180" s="101"/>
      <c r="L180" s="101"/>
      <c r="M180" s="101"/>
      <c r="N180" s="101"/>
      <c r="O180" s="101"/>
    </row>
    <row r="181" spans="2:15" ht="12.75">
      <c r="B181" s="101"/>
      <c r="C181" s="101"/>
      <c r="D181" s="101"/>
      <c r="E181" s="101"/>
      <c r="F181" s="101"/>
      <c r="G181" s="101"/>
      <c r="H181" s="101"/>
      <c r="I181" s="101"/>
      <c r="J181" s="101"/>
      <c r="K181" s="101"/>
      <c r="L181" s="101"/>
      <c r="M181" s="101"/>
      <c r="N181" s="101"/>
      <c r="O181" s="101"/>
    </row>
    <row r="182" spans="2:15" ht="12.75">
      <c r="B182" s="101"/>
      <c r="C182" s="101"/>
      <c r="D182" s="101"/>
      <c r="E182" s="101"/>
      <c r="F182" s="101"/>
      <c r="G182" s="101"/>
      <c r="H182" s="101"/>
      <c r="I182" s="101"/>
      <c r="J182" s="101"/>
      <c r="K182" s="101"/>
      <c r="L182" s="101"/>
      <c r="M182" s="101"/>
      <c r="N182" s="101"/>
      <c r="O182" s="101"/>
    </row>
    <row r="183" spans="2:15" ht="12.75">
      <c r="B183" s="101"/>
      <c r="C183" s="101"/>
      <c r="D183" s="101"/>
      <c r="E183" s="101"/>
      <c r="F183" s="101"/>
      <c r="G183" s="101"/>
      <c r="H183" s="101"/>
      <c r="I183" s="101"/>
      <c r="J183" s="101"/>
      <c r="K183" s="101"/>
      <c r="L183" s="101"/>
      <c r="M183" s="101"/>
      <c r="N183" s="101"/>
      <c r="O183" s="101"/>
    </row>
    <row r="184" spans="2:15" ht="12.75">
      <c r="B184" s="101"/>
      <c r="C184" s="101"/>
      <c r="D184" s="101"/>
      <c r="E184" s="101"/>
      <c r="F184" s="101"/>
      <c r="G184" s="101"/>
      <c r="H184" s="101"/>
      <c r="I184" s="101"/>
      <c r="J184" s="101"/>
      <c r="K184" s="101"/>
      <c r="L184" s="101"/>
      <c r="M184" s="101"/>
      <c r="N184" s="101"/>
      <c r="O184" s="101"/>
    </row>
    <row r="185" spans="2:15" ht="12.75">
      <c r="B185" s="101"/>
      <c r="C185" s="101"/>
      <c r="D185" s="101"/>
      <c r="E185" s="101"/>
      <c r="F185" s="101"/>
      <c r="G185" s="101"/>
      <c r="H185" s="101"/>
      <c r="I185" s="101"/>
      <c r="J185" s="101"/>
      <c r="K185" s="101"/>
      <c r="L185" s="101"/>
      <c r="M185" s="101"/>
      <c r="N185" s="101"/>
      <c r="O185" s="101"/>
    </row>
    <row r="186" spans="2:15" ht="12.75">
      <c r="B186" s="101"/>
      <c r="C186" s="101"/>
      <c r="D186" s="101"/>
      <c r="E186" s="101"/>
      <c r="F186" s="101"/>
      <c r="G186" s="101"/>
      <c r="H186" s="101"/>
      <c r="I186" s="101"/>
      <c r="J186" s="101"/>
      <c r="K186" s="101"/>
      <c r="L186" s="101"/>
      <c r="M186" s="101"/>
      <c r="N186" s="101"/>
      <c r="O186" s="101"/>
    </row>
    <row r="187" spans="2:15" ht="12.75">
      <c r="B187" s="101"/>
      <c r="C187" s="101"/>
      <c r="D187" s="101"/>
      <c r="E187" s="101"/>
      <c r="F187" s="101"/>
      <c r="G187" s="101"/>
      <c r="H187" s="101"/>
      <c r="I187" s="101"/>
      <c r="J187" s="101"/>
      <c r="K187" s="101"/>
      <c r="L187" s="101"/>
      <c r="M187" s="101"/>
      <c r="N187" s="101"/>
      <c r="O187" s="101"/>
    </row>
    <row r="188" spans="2:15" ht="12.75">
      <c r="B188" s="101"/>
      <c r="C188" s="101"/>
      <c r="D188" s="101"/>
      <c r="E188" s="101"/>
      <c r="F188" s="101"/>
      <c r="G188" s="101"/>
      <c r="H188" s="101"/>
      <c r="I188" s="101"/>
      <c r="J188" s="101"/>
      <c r="K188" s="101"/>
      <c r="L188" s="101"/>
      <c r="M188" s="101"/>
      <c r="N188" s="101"/>
      <c r="O188" s="101"/>
    </row>
    <row r="189" spans="2:15" ht="12.75">
      <c r="B189" s="101"/>
      <c r="C189" s="101"/>
      <c r="D189" s="101"/>
      <c r="E189" s="101"/>
      <c r="F189" s="101"/>
      <c r="G189" s="101"/>
      <c r="H189" s="101"/>
      <c r="I189" s="101"/>
      <c r="J189" s="101"/>
      <c r="K189" s="101"/>
      <c r="L189" s="101"/>
      <c r="M189" s="101"/>
      <c r="N189" s="101"/>
      <c r="O189" s="101"/>
    </row>
    <row r="190" spans="2:15" ht="12.75">
      <c r="B190" s="101"/>
      <c r="C190" s="101"/>
      <c r="D190" s="101"/>
      <c r="E190" s="101"/>
      <c r="F190" s="101"/>
      <c r="G190" s="101"/>
      <c r="H190" s="101"/>
      <c r="I190" s="101"/>
      <c r="J190" s="101"/>
      <c r="K190" s="101"/>
      <c r="L190" s="101"/>
      <c r="M190" s="101"/>
      <c r="N190" s="101"/>
      <c r="O190" s="101"/>
    </row>
    <row r="191" spans="2:15" ht="12.75">
      <c r="B191" s="101"/>
      <c r="C191" s="101"/>
      <c r="D191" s="101"/>
      <c r="E191" s="101"/>
      <c r="F191" s="101"/>
      <c r="G191" s="101"/>
      <c r="H191" s="101"/>
      <c r="I191" s="101"/>
      <c r="J191" s="101"/>
      <c r="K191" s="101"/>
      <c r="L191" s="101"/>
      <c r="M191" s="101"/>
      <c r="N191" s="101"/>
      <c r="O191" s="101"/>
    </row>
    <row r="192" spans="2:15" ht="12.75">
      <c r="B192" s="101"/>
      <c r="C192" s="101"/>
      <c r="D192" s="101"/>
      <c r="E192" s="101"/>
      <c r="F192" s="101"/>
      <c r="G192" s="101"/>
      <c r="H192" s="101"/>
      <c r="I192" s="101"/>
      <c r="J192" s="101"/>
      <c r="K192" s="101"/>
      <c r="L192" s="101"/>
      <c r="M192" s="101"/>
      <c r="N192" s="101"/>
      <c r="O192" s="101"/>
    </row>
    <row r="193" spans="2:15" ht="12.75">
      <c r="B193" s="101"/>
      <c r="C193" s="101"/>
      <c r="D193" s="101"/>
      <c r="E193" s="101"/>
      <c r="F193" s="101"/>
      <c r="G193" s="101"/>
      <c r="H193" s="101"/>
      <c r="I193" s="101"/>
      <c r="J193" s="101"/>
      <c r="K193" s="101"/>
      <c r="L193" s="101"/>
      <c r="M193" s="101"/>
      <c r="N193" s="101"/>
      <c r="O193" s="101"/>
    </row>
    <row r="194" spans="2:15" ht="12.75">
      <c r="B194" s="101"/>
      <c r="C194" s="101"/>
      <c r="D194" s="101"/>
      <c r="E194" s="101"/>
      <c r="F194" s="101"/>
      <c r="G194" s="101"/>
      <c r="H194" s="101"/>
      <c r="I194" s="101"/>
      <c r="J194" s="101"/>
      <c r="K194" s="101"/>
      <c r="L194" s="101"/>
      <c r="M194" s="101"/>
      <c r="N194" s="101"/>
      <c r="O194" s="101"/>
    </row>
    <row r="195" spans="2:15" ht="12.75">
      <c r="B195" s="101"/>
      <c r="C195" s="101"/>
      <c r="D195" s="101"/>
      <c r="E195" s="101"/>
      <c r="F195" s="101"/>
      <c r="G195" s="101"/>
      <c r="H195" s="101"/>
      <c r="I195" s="101"/>
      <c r="J195" s="101"/>
      <c r="K195" s="101"/>
      <c r="L195" s="101"/>
      <c r="M195" s="101"/>
      <c r="N195" s="101"/>
      <c r="O195" s="101"/>
    </row>
    <row r="196" spans="2:15" ht="12.75">
      <c r="B196" s="101"/>
      <c r="C196" s="101"/>
      <c r="D196" s="101"/>
      <c r="E196" s="101"/>
      <c r="F196" s="101"/>
      <c r="G196" s="101"/>
      <c r="H196" s="101"/>
      <c r="I196" s="101"/>
      <c r="J196" s="101"/>
      <c r="K196" s="101"/>
      <c r="L196" s="101"/>
      <c r="M196" s="101"/>
      <c r="N196" s="101"/>
      <c r="O196" s="101"/>
    </row>
    <row r="197" spans="2:15" ht="12.75">
      <c r="B197" s="101"/>
      <c r="C197" s="101"/>
      <c r="D197" s="101"/>
      <c r="E197" s="101"/>
      <c r="F197" s="101"/>
      <c r="G197" s="101"/>
      <c r="H197" s="101"/>
      <c r="I197" s="101"/>
      <c r="J197" s="101"/>
      <c r="K197" s="101"/>
      <c r="L197" s="101"/>
      <c r="M197" s="101"/>
      <c r="N197" s="101"/>
      <c r="O197" s="101"/>
    </row>
    <row r="198" spans="2:15" ht="12.75">
      <c r="B198" s="101"/>
      <c r="C198" s="101"/>
      <c r="D198" s="101"/>
      <c r="E198" s="101"/>
      <c r="F198" s="101"/>
      <c r="G198" s="101"/>
      <c r="H198" s="101"/>
      <c r="I198" s="101"/>
      <c r="J198" s="101"/>
      <c r="K198" s="101"/>
      <c r="L198" s="101"/>
      <c r="M198" s="101"/>
      <c r="N198" s="101"/>
      <c r="O198" s="101"/>
    </row>
    <row r="199" spans="2:15" ht="12.75">
      <c r="B199" s="101"/>
      <c r="C199" s="101"/>
      <c r="D199" s="101"/>
      <c r="E199" s="101"/>
      <c r="F199" s="101"/>
      <c r="G199" s="101"/>
      <c r="H199" s="101"/>
      <c r="I199" s="101"/>
      <c r="J199" s="101"/>
      <c r="K199" s="101"/>
      <c r="L199" s="101"/>
      <c r="M199" s="101"/>
      <c r="N199" s="101"/>
      <c r="O199" s="101"/>
    </row>
    <row r="200" spans="2:15" ht="12.75">
      <c r="B200" s="101"/>
      <c r="C200" s="101"/>
      <c r="D200" s="101"/>
      <c r="E200" s="101"/>
      <c r="F200" s="101"/>
      <c r="G200" s="101"/>
      <c r="H200" s="101"/>
      <c r="I200" s="101"/>
      <c r="J200" s="101"/>
      <c r="K200" s="101"/>
      <c r="L200" s="101"/>
      <c r="M200" s="101"/>
      <c r="N200" s="101"/>
      <c r="O200" s="101"/>
    </row>
    <row r="201" spans="2:15" ht="12.75">
      <c r="B201" s="101"/>
      <c r="C201" s="101"/>
      <c r="D201" s="101"/>
      <c r="E201" s="101"/>
      <c r="F201" s="101"/>
      <c r="G201" s="101"/>
      <c r="H201" s="101"/>
      <c r="I201" s="101"/>
      <c r="J201" s="101"/>
      <c r="K201" s="101"/>
      <c r="L201" s="101"/>
      <c r="M201" s="101"/>
      <c r="N201" s="101"/>
      <c r="O201" s="101"/>
    </row>
    <row r="202" spans="2:15" ht="12.75">
      <c r="B202" s="101"/>
      <c r="C202" s="101"/>
      <c r="D202" s="101"/>
      <c r="E202" s="101"/>
      <c r="F202" s="101"/>
      <c r="G202" s="101"/>
      <c r="H202" s="101"/>
      <c r="I202" s="101"/>
      <c r="J202" s="101"/>
      <c r="K202" s="101"/>
      <c r="L202" s="101"/>
      <c r="M202" s="101"/>
      <c r="N202" s="101"/>
      <c r="O202" s="101"/>
    </row>
    <row r="203" spans="2:15" ht="12.75">
      <c r="B203" s="101"/>
      <c r="C203" s="101"/>
      <c r="D203" s="101"/>
      <c r="E203" s="101"/>
      <c r="F203" s="101"/>
      <c r="G203" s="101"/>
      <c r="H203" s="101"/>
      <c r="I203" s="101"/>
      <c r="J203" s="101"/>
      <c r="K203" s="101"/>
      <c r="L203" s="101"/>
      <c r="M203" s="101"/>
      <c r="N203" s="101"/>
      <c r="O203" s="101"/>
    </row>
    <row r="204" spans="2:15" ht="12.75">
      <c r="B204" s="101"/>
      <c r="C204" s="101"/>
      <c r="D204" s="101"/>
      <c r="E204" s="101"/>
      <c r="F204" s="101"/>
      <c r="G204" s="101"/>
      <c r="H204" s="101"/>
      <c r="I204" s="101"/>
      <c r="J204" s="101"/>
      <c r="K204" s="101"/>
      <c r="L204" s="101"/>
      <c r="M204" s="101"/>
      <c r="N204" s="101"/>
      <c r="O204" s="101"/>
    </row>
    <row r="205" spans="2:15" ht="12.75">
      <c r="B205" s="101"/>
      <c r="C205" s="101"/>
      <c r="D205" s="101"/>
      <c r="E205" s="101"/>
      <c r="F205" s="101"/>
      <c r="G205" s="101"/>
      <c r="H205" s="101"/>
      <c r="I205" s="101"/>
      <c r="J205" s="101"/>
      <c r="K205" s="101"/>
      <c r="L205" s="101"/>
      <c r="M205" s="101"/>
      <c r="N205" s="101"/>
      <c r="O205" s="101"/>
    </row>
    <row r="206" spans="2:15" ht="12.75">
      <c r="B206" s="101"/>
      <c r="C206" s="101"/>
      <c r="D206" s="101"/>
      <c r="E206" s="101"/>
      <c r="F206" s="101"/>
      <c r="G206" s="101"/>
      <c r="H206" s="101"/>
      <c r="I206" s="101"/>
      <c r="J206" s="101"/>
      <c r="K206" s="101"/>
      <c r="L206" s="101"/>
      <c r="M206" s="101"/>
      <c r="N206" s="101"/>
      <c r="O206" s="101"/>
    </row>
    <row r="207" spans="2:15" ht="12.75">
      <c r="B207" s="101"/>
      <c r="C207" s="101"/>
      <c r="D207" s="101"/>
      <c r="E207" s="101"/>
      <c r="F207" s="101"/>
      <c r="G207" s="101"/>
      <c r="H207" s="101"/>
      <c r="I207" s="101"/>
      <c r="J207" s="101"/>
      <c r="K207" s="101"/>
      <c r="L207" s="101"/>
      <c r="M207" s="101"/>
      <c r="N207" s="101"/>
      <c r="O207" s="101"/>
    </row>
    <row r="208" spans="2:15" ht="12.75">
      <c r="B208" s="101"/>
      <c r="C208" s="101"/>
      <c r="D208" s="101"/>
      <c r="E208" s="101"/>
      <c r="F208" s="101"/>
      <c r="G208" s="101"/>
      <c r="H208" s="101"/>
      <c r="I208" s="101"/>
      <c r="J208" s="101"/>
      <c r="K208" s="101"/>
      <c r="L208" s="101"/>
      <c r="M208" s="101"/>
      <c r="N208" s="101"/>
      <c r="O208" s="101"/>
    </row>
    <row r="209" spans="2:15" ht="12.75">
      <c r="B209" s="101"/>
      <c r="C209" s="101"/>
      <c r="D209" s="101"/>
      <c r="E209" s="101"/>
      <c r="F209" s="101"/>
      <c r="G209" s="101"/>
      <c r="H209" s="101"/>
      <c r="I209" s="101"/>
      <c r="J209" s="101"/>
      <c r="K209" s="101"/>
      <c r="L209" s="101"/>
      <c r="M209" s="101"/>
      <c r="N209" s="101"/>
      <c r="O209" s="101"/>
    </row>
    <row r="210" spans="2:15" ht="12.75">
      <c r="B210" s="101"/>
      <c r="C210" s="101"/>
      <c r="D210" s="101"/>
      <c r="E210" s="101"/>
      <c r="F210" s="101"/>
      <c r="G210" s="101"/>
      <c r="H210" s="101"/>
      <c r="I210" s="101"/>
      <c r="J210" s="101"/>
      <c r="K210" s="101"/>
      <c r="L210" s="101"/>
      <c r="M210" s="101"/>
      <c r="N210" s="101"/>
      <c r="O210" s="101"/>
    </row>
    <row r="211" spans="2:15" ht="12.75">
      <c r="B211" s="101"/>
      <c r="C211" s="101"/>
      <c r="D211" s="101"/>
      <c r="E211" s="101"/>
      <c r="F211" s="101"/>
      <c r="G211" s="101"/>
      <c r="H211" s="101"/>
      <c r="I211" s="101"/>
      <c r="J211" s="101"/>
      <c r="K211" s="101"/>
      <c r="L211" s="101"/>
      <c r="M211" s="101"/>
      <c r="N211" s="101"/>
      <c r="O211" s="101"/>
    </row>
    <row r="212" spans="2:15" ht="12.75">
      <c r="B212" s="101"/>
      <c r="C212" s="101"/>
      <c r="D212" s="101"/>
      <c r="E212" s="101"/>
      <c r="F212" s="101"/>
      <c r="G212" s="101"/>
      <c r="H212" s="101"/>
      <c r="I212" s="101"/>
      <c r="J212" s="101"/>
      <c r="K212" s="101"/>
      <c r="L212" s="101"/>
      <c r="M212" s="101"/>
      <c r="N212" s="101"/>
      <c r="O212" s="101"/>
    </row>
    <row r="213" spans="2:15" ht="12.75">
      <c r="B213" s="101"/>
      <c r="C213" s="101"/>
      <c r="D213" s="101"/>
      <c r="E213" s="101"/>
      <c r="F213" s="101"/>
      <c r="G213" s="101"/>
      <c r="H213" s="101"/>
      <c r="I213" s="101"/>
      <c r="J213" s="101"/>
      <c r="K213" s="101"/>
      <c r="L213" s="101"/>
      <c r="M213" s="101"/>
      <c r="N213" s="101"/>
      <c r="O213" s="101"/>
    </row>
    <row r="214" spans="2:15" ht="12.75">
      <c r="B214" s="101"/>
      <c r="C214" s="101"/>
      <c r="D214" s="101"/>
      <c r="E214" s="101"/>
      <c r="F214" s="101"/>
      <c r="G214" s="101"/>
      <c r="H214" s="101"/>
      <c r="I214" s="101"/>
      <c r="J214" s="101"/>
      <c r="K214" s="101"/>
      <c r="L214" s="101"/>
      <c r="M214" s="101"/>
      <c r="N214" s="101"/>
      <c r="O214" s="101"/>
    </row>
    <row r="215" spans="2:15" ht="12.75">
      <c r="B215" s="101"/>
      <c r="C215" s="101"/>
      <c r="D215" s="101"/>
      <c r="E215" s="101"/>
      <c r="F215" s="101"/>
      <c r="G215" s="101"/>
      <c r="H215" s="101"/>
      <c r="I215" s="101"/>
      <c r="J215" s="101"/>
      <c r="K215" s="101"/>
      <c r="L215" s="101"/>
      <c r="M215" s="101"/>
      <c r="N215" s="101"/>
      <c r="O215" s="101"/>
    </row>
    <row r="216" spans="2:15" ht="12.75">
      <c r="B216" s="101"/>
      <c r="C216" s="101"/>
      <c r="D216" s="101"/>
      <c r="E216" s="101"/>
      <c r="F216" s="101"/>
      <c r="G216" s="101"/>
      <c r="H216" s="101"/>
      <c r="I216" s="101"/>
      <c r="J216" s="101"/>
      <c r="K216" s="101"/>
      <c r="L216" s="101"/>
      <c r="M216" s="101"/>
      <c r="N216" s="101"/>
      <c r="O216" s="101"/>
    </row>
    <row r="217" spans="2:15" ht="12.75">
      <c r="B217" s="101"/>
      <c r="C217" s="101"/>
      <c r="D217" s="101"/>
      <c r="E217" s="101"/>
      <c r="F217" s="101"/>
      <c r="G217" s="101"/>
      <c r="H217" s="101"/>
      <c r="I217" s="101"/>
      <c r="J217" s="101"/>
      <c r="K217" s="101"/>
      <c r="L217" s="101"/>
      <c r="M217" s="101"/>
      <c r="N217" s="101"/>
      <c r="O217" s="101"/>
    </row>
    <row r="218" spans="2:15" ht="12.75">
      <c r="B218" s="101"/>
      <c r="C218" s="101"/>
      <c r="D218" s="101"/>
      <c r="E218" s="101"/>
      <c r="F218" s="101"/>
      <c r="G218" s="101"/>
      <c r="H218" s="101"/>
      <c r="I218" s="101"/>
      <c r="J218" s="101"/>
      <c r="K218" s="101"/>
      <c r="L218" s="101"/>
      <c r="M218" s="101"/>
      <c r="N218" s="101"/>
      <c r="O218" s="101"/>
    </row>
    <row r="219" spans="2:15" ht="12.75">
      <c r="B219" s="101"/>
      <c r="C219" s="101"/>
      <c r="D219" s="101"/>
      <c r="E219" s="101"/>
      <c r="F219" s="101"/>
      <c r="G219" s="101"/>
      <c r="H219" s="101"/>
      <c r="I219" s="101"/>
      <c r="J219" s="101"/>
      <c r="K219" s="101"/>
      <c r="L219" s="101"/>
      <c r="M219" s="101"/>
      <c r="N219" s="101"/>
      <c r="O219" s="101"/>
    </row>
    <row r="220" spans="2:15" ht="12.75">
      <c r="B220" s="101"/>
      <c r="C220" s="101"/>
      <c r="D220" s="101"/>
      <c r="E220" s="101"/>
      <c r="F220" s="101"/>
      <c r="G220" s="101"/>
      <c r="H220" s="101"/>
      <c r="I220" s="101"/>
      <c r="J220" s="101"/>
      <c r="K220" s="101"/>
      <c r="L220" s="101"/>
      <c r="M220" s="101"/>
      <c r="N220" s="101"/>
      <c r="O220" s="101"/>
    </row>
    <row r="221" spans="2:15" ht="12.75">
      <c r="B221" s="101"/>
      <c r="C221" s="101"/>
      <c r="D221" s="101"/>
      <c r="E221" s="101"/>
      <c r="F221" s="101"/>
      <c r="G221" s="101"/>
      <c r="H221" s="101"/>
      <c r="I221" s="101"/>
      <c r="J221" s="101"/>
      <c r="K221" s="101"/>
      <c r="L221" s="101"/>
      <c r="M221" s="101"/>
      <c r="N221" s="101"/>
      <c r="O221" s="101"/>
    </row>
    <row r="222" spans="2:15" ht="12.75">
      <c r="B222" s="101"/>
      <c r="C222" s="101"/>
      <c r="D222" s="101"/>
      <c r="E222" s="101"/>
      <c r="F222" s="101"/>
      <c r="G222" s="101"/>
      <c r="H222" s="101"/>
      <c r="I222" s="101"/>
      <c r="J222" s="101"/>
      <c r="K222" s="101"/>
      <c r="L222" s="101"/>
      <c r="M222" s="101"/>
      <c r="N222" s="101"/>
      <c r="O222" s="101"/>
    </row>
    <row r="223" spans="2:15" ht="12.75">
      <c r="B223" s="101"/>
      <c r="C223" s="101"/>
      <c r="D223" s="101"/>
      <c r="E223" s="101"/>
      <c r="F223" s="101"/>
      <c r="G223" s="101"/>
      <c r="H223" s="101"/>
      <c r="I223" s="101"/>
      <c r="J223" s="101"/>
      <c r="K223" s="101"/>
      <c r="L223" s="101"/>
      <c r="M223" s="101"/>
      <c r="N223" s="101"/>
      <c r="O223" s="101"/>
    </row>
    <row r="224" spans="2:15" ht="12.75">
      <c r="B224" s="101"/>
      <c r="C224" s="101"/>
      <c r="D224" s="101"/>
      <c r="E224" s="101"/>
      <c r="F224" s="101"/>
      <c r="G224" s="101"/>
      <c r="H224" s="101"/>
      <c r="I224" s="101"/>
      <c r="J224" s="101"/>
      <c r="K224" s="101"/>
      <c r="L224" s="101"/>
      <c r="M224" s="101"/>
      <c r="N224" s="101"/>
      <c r="O224" s="101"/>
    </row>
    <row r="225" spans="2:15" ht="12.75">
      <c r="B225" s="101"/>
      <c r="C225" s="101"/>
      <c r="D225" s="101"/>
      <c r="E225" s="101"/>
      <c r="F225" s="101"/>
      <c r="G225" s="101"/>
      <c r="H225" s="101"/>
      <c r="I225" s="101"/>
      <c r="J225" s="101"/>
      <c r="K225" s="101"/>
      <c r="L225" s="101"/>
      <c r="M225" s="101"/>
      <c r="N225" s="101"/>
      <c r="O225" s="101"/>
    </row>
    <row r="226" spans="2:15" ht="12.75">
      <c r="B226" s="101"/>
      <c r="C226" s="101"/>
      <c r="D226" s="101"/>
      <c r="E226" s="101"/>
      <c r="F226" s="101"/>
      <c r="G226" s="101"/>
      <c r="H226" s="101"/>
      <c r="I226" s="101"/>
      <c r="J226" s="101"/>
      <c r="K226" s="101"/>
      <c r="L226" s="101"/>
      <c r="M226" s="101"/>
      <c r="N226" s="101"/>
      <c r="O226" s="101"/>
    </row>
    <row r="227" spans="2:15" ht="12.75">
      <c r="B227" s="101"/>
      <c r="C227" s="101"/>
      <c r="D227" s="101"/>
      <c r="E227" s="101"/>
      <c r="F227" s="101"/>
      <c r="G227" s="101"/>
      <c r="H227" s="101"/>
      <c r="I227" s="101"/>
      <c r="J227" s="101"/>
      <c r="K227" s="101"/>
      <c r="L227" s="101"/>
      <c r="M227" s="101"/>
      <c r="N227" s="101"/>
      <c r="O227" s="101"/>
    </row>
    <row r="228" spans="2:15" ht="12.75">
      <c r="B228" s="101"/>
      <c r="C228" s="101"/>
      <c r="D228" s="101"/>
      <c r="E228" s="101"/>
      <c r="F228" s="101"/>
      <c r="G228" s="101"/>
      <c r="H228" s="101"/>
      <c r="I228" s="101"/>
      <c r="J228" s="101"/>
      <c r="K228" s="101"/>
      <c r="L228" s="101"/>
      <c r="M228" s="101"/>
      <c r="N228" s="101"/>
      <c r="O228" s="101"/>
    </row>
    <row r="229" spans="2:15" ht="12.75">
      <c r="B229" s="101"/>
      <c r="C229" s="101"/>
      <c r="D229" s="101"/>
      <c r="E229" s="101"/>
      <c r="F229" s="101"/>
      <c r="G229" s="101"/>
      <c r="H229" s="101"/>
      <c r="I229" s="101"/>
      <c r="J229" s="101"/>
      <c r="K229" s="101"/>
      <c r="L229" s="101"/>
      <c r="M229" s="101"/>
      <c r="N229" s="101"/>
      <c r="O229" s="101"/>
    </row>
    <row r="230" spans="2:15" ht="12.75">
      <c r="B230" s="101"/>
      <c r="C230" s="101"/>
      <c r="D230" s="101"/>
      <c r="E230" s="101"/>
      <c r="F230" s="101"/>
      <c r="G230" s="101"/>
      <c r="H230" s="101"/>
      <c r="I230" s="101"/>
      <c r="J230" s="101"/>
      <c r="K230" s="101"/>
      <c r="L230" s="101"/>
      <c r="M230" s="101"/>
      <c r="N230" s="101"/>
      <c r="O230" s="101"/>
    </row>
    <row r="231" spans="2:15" ht="12.75">
      <c r="B231" s="101"/>
      <c r="C231" s="101"/>
      <c r="D231" s="101"/>
      <c r="E231" s="101"/>
      <c r="F231" s="101"/>
      <c r="G231" s="101"/>
      <c r="H231" s="101"/>
      <c r="I231" s="101"/>
      <c r="J231" s="101"/>
      <c r="K231" s="101"/>
      <c r="L231" s="101"/>
      <c r="M231" s="101"/>
      <c r="N231" s="101"/>
      <c r="O231" s="101"/>
    </row>
    <row r="232" spans="2:15" ht="12.75">
      <c r="B232" s="101"/>
      <c r="C232" s="101"/>
      <c r="D232" s="101"/>
      <c r="E232" s="101"/>
      <c r="F232" s="101"/>
      <c r="G232" s="101"/>
      <c r="H232" s="101"/>
      <c r="I232" s="101"/>
      <c r="J232" s="101"/>
      <c r="K232" s="101"/>
      <c r="L232" s="101"/>
      <c r="M232" s="101"/>
      <c r="N232" s="101"/>
      <c r="O232" s="101"/>
    </row>
    <row r="233" spans="2:15" ht="12.75">
      <c r="B233" s="101"/>
      <c r="C233" s="101"/>
      <c r="D233" s="101"/>
      <c r="E233" s="101"/>
      <c r="F233" s="101"/>
      <c r="G233" s="101"/>
      <c r="H233" s="101"/>
      <c r="I233" s="101"/>
      <c r="J233" s="101"/>
      <c r="K233" s="101"/>
      <c r="L233" s="101"/>
      <c r="M233" s="101"/>
      <c r="N233" s="101"/>
      <c r="O233" s="101"/>
    </row>
    <row r="234" spans="2:15" ht="12.75">
      <c r="B234" s="101"/>
      <c r="C234" s="101"/>
      <c r="D234" s="101"/>
      <c r="E234" s="101"/>
      <c r="F234" s="101"/>
      <c r="G234" s="101"/>
      <c r="H234" s="101"/>
      <c r="I234" s="101"/>
      <c r="J234" s="101"/>
      <c r="K234" s="101"/>
      <c r="L234" s="101"/>
      <c r="M234" s="101"/>
      <c r="N234" s="101"/>
      <c r="O234" s="101"/>
    </row>
    <row r="235" spans="2:15" ht="12.75">
      <c r="B235" s="101"/>
      <c r="C235" s="101"/>
      <c r="D235" s="101"/>
      <c r="E235" s="101"/>
      <c r="F235" s="101"/>
      <c r="G235" s="101"/>
      <c r="H235" s="101"/>
      <c r="I235" s="101"/>
      <c r="J235" s="101"/>
      <c r="K235" s="101"/>
      <c r="L235" s="101"/>
      <c r="M235" s="101"/>
      <c r="N235" s="101"/>
      <c r="O235" s="101"/>
    </row>
    <row r="236" spans="2:15" ht="12.75">
      <c r="B236" s="101"/>
      <c r="C236" s="101"/>
      <c r="D236" s="101"/>
      <c r="E236" s="101"/>
      <c r="F236" s="101"/>
      <c r="G236" s="101"/>
      <c r="H236" s="101"/>
      <c r="I236" s="101"/>
      <c r="J236" s="101"/>
      <c r="K236" s="101"/>
      <c r="L236" s="101"/>
      <c r="M236" s="101"/>
      <c r="N236" s="101"/>
      <c r="O236" s="101"/>
    </row>
    <row r="237" spans="2:15" ht="12.75">
      <c r="B237" s="101"/>
      <c r="C237" s="101"/>
      <c r="D237" s="101"/>
      <c r="E237" s="101"/>
      <c r="F237" s="101"/>
      <c r="G237" s="101"/>
      <c r="H237" s="101"/>
      <c r="I237" s="101"/>
      <c r="J237" s="101"/>
      <c r="K237" s="101"/>
      <c r="L237" s="101"/>
      <c r="M237" s="101"/>
      <c r="N237" s="101"/>
      <c r="O237" s="101"/>
    </row>
    <row r="238" spans="2:15" ht="12.75">
      <c r="B238" s="101"/>
      <c r="C238" s="101"/>
      <c r="D238" s="101"/>
      <c r="E238" s="101"/>
      <c r="F238" s="101"/>
      <c r="G238" s="101"/>
      <c r="H238" s="101"/>
      <c r="I238" s="101"/>
      <c r="J238" s="101"/>
      <c r="K238" s="101"/>
      <c r="L238" s="101"/>
      <c r="M238" s="101"/>
      <c r="N238" s="101"/>
      <c r="O238" s="101"/>
    </row>
    <row r="239" spans="2:15" ht="12.75">
      <c r="B239" s="101"/>
      <c r="C239" s="101"/>
      <c r="D239" s="101"/>
      <c r="E239" s="101"/>
      <c r="F239" s="101"/>
      <c r="G239" s="101"/>
      <c r="H239" s="101"/>
      <c r="I239" s="101"/>
      <c r="J239" s="101"/>
      <c r="K239" s="101"/>
      <c r="L239" s="101"/>
      <c r="M239" s="101"/>
      <c r="N239" s="101"/>
      <c r="O239" s="101"/>
    </row>
    <row r="240" spans="2:15" ht="12.75">
      <c r="B240" s="101"/>
      <c r="C240" s="101"/>
      <c r="D240" s="101"/>
      <c r="E240" s="101"/>
      <c r="F240" s="101"/>
      <c r="G240" s="101"/>
      <c r="H240" s="101"/>
      <c r="I240" s="101"/>
      <c r="J240" s="101"/>
      <c r="K240" s="101"/>
      <c r="L240" s="101"/>
      <c r="M240" s="101"/>
      <c r="N240" s="101"/>
      <c r="O240" s="101"/>
    </row>
    <row r="241" spans="2:15" ht="12.75">
      <c r="B241" s="101"/>
      <c r="C241" s="101"/>
      <c r="D241" s="101"/>
      <c r="E241" s="101"/>
      <c r="F241" s="101"/>
      <c r="G241" s="101"/>
      <c r="H241" s="101"/>
      <c r="I241" s="101"/>
      <c r="J241" s="101"/>
      <c r="K241" s="101"/>
      <c r="L241" s="101"/>
      <c r="M241" s="101"/>
      <c r="N241" s="101"/>
      <c r="O241" s="101"/>
    </row>
    <row r="242" spans="2:15" ht="12.75">
      <c r="B242" s="101"/>
      <c r="C242" s="101"/>
      <c r="D242" s="101"/>
      <c r="E242" s="101"/>
      <c r="F242" s="101"/>
      <c r="G242" s="101"/>
      <c r="H242" s="101"/>
      <c r="I242" s="101"/>
      <c r="J242" s="101"/>
      <c r="K242" s="101"/>
      <c r="L242" s="101"/>
      <c r="M242" s="101"/>
      <c r="N242" s="101"/>
      <c r="O242" s="101"/>
    </row>
    <row r="243" spans="2:15" ht="12.75">
      <c r="B243" s="101"/>
      <c r="C243" s="101"/>
      <c r="D243" s="101"/>
      <c r="E243" s="101"/>
      <c r="F243" s="101"/>
      <c r="G243" s="101"/>
      <c r="H243" s="101"/>
      <c r="I243" s="101"/>
      <c r="J243" s="101"/>
      <c r="K243" s="101"/>
      <c r="L243" s="101"/>
      <c r="M243" s="101"/>
      <c r="N243" s="101"/>
      <c r="O243" s="101"/>
    </row>
    <row r="244" spans="2:15" ht="12.75">
      <c r="B244" s="101"/>
      <c r="C244" s="101"/>
      <c r="D244" s="101"/>
      <c r="E244" s="101"/>
      <c r="F244" s="101"/>
      <c r="G244" s="101"/>
      <c r="H244" s="101"/>
      <c r="I244" s="101"/>
      <c r="J244" s="101"/>
      <c r="K244" s="101"/>
      <c r="L244" s="101"/>
      <c r="M244" s="101"/>
      <c r="N244" s="101"/>
      <c r="O244" s="101"/>
    </row>
    <row r="245" spans="2:15" ht="12.75">
      <c r="B245" s="101"/>
      <c r="C245" s="101"/>
      <c r="D245" s="101"/>
      <c r="E245" s="101"/>
      <c r="F245" s="101"/>
      <c r="G245" s="101"/>
      <c r="H245" s="101"/>
      <c r="I245" s="101"/>
      <c r="J245" s="101"/>
      <c r="K245" s="101"/>
      <c r="L245" s="101"/>
      <c r="M245" s="101"/>
      <c r="N245" s="101"/>
      <c r="O245" s="101"/>
    </row>
    <row r="246" spans="2:15" ht="12.75">
      <c r="B246" s="101"/>
      <c r="C246" s="101"/>
      <c r="D246" s="101"/>
      <c r="E246" s="101"/>
      <c r="F246" s="101"/>
      <c r="G246" s="101"/>
      <c r="H246" s="101"/>
      <c r="I246" s="101"/>
      <c r="J246" s="101"/>
      <c r="K246" s="101"/>
      <c r="L246" s="101"/>
      <c r="M246" s="101"/>
      <c r="N246" s="101"/>
      <c r="O246" s="101"/>
    </row>
    <row r="247" spans="2:15" ht="12.75">
      <c r="B247" s="101"/>
      <c r="C247" s="101"/>
      <c r="D247" s="101"/>
      <c r="E247" s="101"/>
      <c r="F247" s="101"/>
      <c r="G247" s="101"/>
      <c r="H247" s="101"/>
      <c r="I247" s="101"/>
      <c r="J247" s="101"/>
      <c r="K247" s="101"/>
      <c r="L247" s="101"/>
      <c r="M247" s="101"/>
      <c r="N247" s="101"/>
      <c r="O247" s="101"/>
    </row>
    <row r="248" spans="2:15" ht="12.75">
      <c r="B248" s="101"/>
      <c r="C248" s="101"/>
      <c r="D248" s="101"/>
      <c r="E248" s="101"/>
      <c r="F248" s="101"/>
      <c r="G248" s="101"/>
      <c r="H248" s="101"/>
      <c r="I248" s="101"/>
      <c r="J248" s="101"/>
      <c r="K248" s="101"/>
      <c r="L248" s="101"/>
      <c r="M248" s="101"/>
      <c r="N248" s="101"/>
      <c r="O248" s="101"/>
    </row>
    <row r="249" spans="2:15" ht="12.75">
      <c r="B249" s="101"/>
      <c r="C249" s="101"/>
      <c r="D249" s="101"/>
      <c r="E249" s="101"/>
      <c r="F249" s="101"/>
      <c r="G249" s="101"/>
      <c r="H249" s="101"/>
      <c r="I249" s="101"/>
      <c r="J249" s="101"/>
      <c r="K249" s="101"/>
      <c r="L249" s="101"/>
      <c r="M249" s="101"/>
      <c r="N249" s="101"/>
      <c r="O249" s="101"/>
    </row>
    <row r="250" spans="2:15" ht="12.75">
      <c r="B250" s="101"/>
      <c r="C250" s="101"/>
      <c r="D250" s="101"/>
      <c r="E250" s="101"/>
      <c r="F250" s="101"/>
      <c r="G250" s="101"/>
      <c r="H250" s="101"/>
      <c r="I250" s="101"/>
      <c r="J250" s="101"/>
      <c r="K250" s="101"/>
      <c r="L250" s="101"/>
      <c r="M250" s="101"/>
      <c r="N250" s="101"/>
      <c r="O250" s="101"/>
    </row>
    <row r="251" spans="2:15" ht="12.75">
      <c r="B251" s="101"/>
      <c r="C251" s="101"/>
      <c r="D251" s="101"/>
      <c r="E251" s="101"/>
      <c r="F251" s="101"/>
      <c r="G251" s="101"/>
      <c r="H251" s="101"/>
      <c r="I251" s="101"/>
      <c r="J251" s="101"/>
      <c r="K251" s="101"/>
      <c r="L251" s="101"/>
      <c r="M251" s="101"/>
      <c r="N251" s="101"/>
      <c r="O251" s="101"/>
    </row>
    <row r="252" spans="2:15" ht="12.75">
      <c r="B252" s="101"/>
      <c r="C252" s="101"/>
      <c r="D252" s="101"/>
      <c r="E252" s="101"/>
      <c r="F252" s="101"/>
      <c r="G252" s="101"/>
      <c r="H252" s="101"/>
      <c r="I252" s="101"/>
      <c r="J252" s="101"/>
      <c r="K252" s="101"/>
      <c r="L252" s="101"/>
      <c r="M252" s="101"/>
      <c r="N252" s="101"/>
      <c r="O252" s="101"/>
    </row>
    <row r="253" spans="2:15" ht="12.75">
      <c r="B253" s="101"/>
      <c r="C253" s="101"/>
      <c r="D253" s="101"/>
      <c r="E253" s="101"/>
      <c r="F253" s="101"/>
      <c r="G253" s="101"/>
      <c r="H253" s="101"/>
      <c r="I253" s="101"/>
      <c r="J253" s="101"/>
      <c r="K253" s="101"/>
      <c r="L253" s="101"/>
      <c r="M253" s="101"/>
      <c r="N253" s="101"/>
      <c r="O253" s="101"/>
    </row>
    <row r="254" spans="2:15" ht="12.75">
      <c r="B254" s="101"/>
      <c r="C254" s="101"/>
      <c r="D254" s="101"/>
      <c r="E254" s="101"/>
      <c r="F254" s="101"/>
      <c r="G254" s="101"/>
      <c r="H254" s="101"/>
      <c r="I254" s="101"/>
      <c r="J254" s="101"/>
      <c r="K254" s="101"/>
      <c r="L254" s="101"/>
      <c r="M254" s="101"/>
      <c r="N254" s="101"/>
      <c r="O254" s="101"/>
    </row>
    <row r="255" spans="2:15" ht="12.75">
      <c r="B255" s="101"/>
      <c r="C255" s="101"/>
      <c r="D255" s="101"/>
      <c r="E255" s="101"/>
      <c r="F255" s="101"/>
      <c r="G255" s="101"/>
      <c r="H255" s="101"/>
      <c r="I255" s="101"/>
      <c r="J255" s="101"/>
      <c r="K255" s="101"/>
      <c r="L255" s="101"/>
      <c r="M255" s="101"/>
      <c r="N255" s="101"/>
      <c r="O255" s="101"/>
    </row>
    <row r="256" spans="2:15" ht="12.75">
      <c r="B256" s="101"/>
      <c r="C256" s="101"/>
      <c r="D256" s="101"/>
      <c r="E256" s="101"/>
      <c r="F256" s="101"/>
      <c r="G256" s="101"/>
      <c r="H256" s="101"/>
      <c r="I256" s="101"/>
      <c r="J256" s="101"/>
      <c r="K256" s="101"/>
      <c r="L256" s="101"/>
      <c r="M256" s="101"/>
      <c r="N256" s="101"/>
      <c r="O256" s="101"/>
    </row>
    <row r="257" spans="2:15" ht="12.75">
      <c r="B257" s="101"/>
      <c r="C257" s="101"/>
      <c r="D257" s="101"/>
      <c r="E257" s="101"/>
      <c r="F257" s="101"/>
      <c r="G257" s="101"/>
      <c r="H257" s="101"/>
      <c r="I257" s="101"/>
      <c r="J257" s="101"/>
      <c r="K257" s="101"/>
      <c r="L257" s="101"/>
      <c r="M257" s="101"/>
      <c r="N257" s="101"/>
      <c r="O257" s="101"/>
    </row>
    <row r="258" spans="2:15" ht="12.75">
      <c r="B258" s="101"/>
      <c r="C258" s="101"/>
      <c r="D258" s="101"/>
      <c r="E258" s="101"/>
      <c r="F258" s="101"/>
      <c r="G258" s="101"/>
      <c r="H258" s="101"/>
      <c r="I258" s="101"/>
      <c r="J258" s="101"/>
      <c r="K258" s="101"/>
      <c r="L258" s="101"/>
      <c r="M258" s="101"/>
      <c r="N258" s="101"/>
      <c r="O258" s="101"/>
    </row>
    <row r="259" spans="2:15" ht="12.75">
      <c r="B259" s="101"/>
      <c r="C259" s="101"/>
      <c r="D259" s="101"/>
      <c r="E259" s="101"/>
      <c r="F259" s="101"/>
      <c r="G259" s="101"/>
      <c r="H259" s="101"/>
      <c r="I259" s="101"/>
      <c r="J259" s="101"/>
      <c r="K259" s="101"/>
      <c r="L259" s="101"/>
      <c r="M259" s="101"/>
      <c r="N259" s="101"/>
      <c r="O259" s="101"/>
    </row>
    <row r="260" spans="2:15" ht="12.75">
      <c r="B260" s="101"/>
      <c r="C260" s="101"/>
      <c r="D260" s="101"/>
      <c r="E260" s="101"/>
      <c r="F260" s="101"/>
      <c r="G260" s="101"/>
      <c r="H260" s="101"/>
      <c r="I260" s="101"/>
      <c r="J260" s="101"/>
      <c r="K260" s="101"/>
      <c r="L260" s="101"/>
      <c r="M260" s="101"/>
      <c r="N260" s="101"/>
      <c r="O260" s="101"/>
    </row>
    <row r="261" spans="2:15" ht="12.75">
      <c r="B261" s="101"/>
      <c r="C261" s="101"/>
      <c r="D261" s="101"/>
      <c r="E261" s="101"/>
      <c r="F261" s="101"/>
      <c r="G261" s="101"/>
      <c r="H261" s="101"/>
      <c r="I261" s="101"/>
      <c r="J261" s="101"/>
      <c r="K261" s="101"/>
      <c r="L261" s="101"/>
      <c r="M261" s="101"/>
      <c r="N261" s="101"/>
      <c r="O261" s="101"/>
    </row>
    <row r="262" spans="2:15" ht="12.75">
      <c r="B262" s="101"/>
      <c r="C262" s="101"/>
      <c r="D262" s="101"/>
      <c r="E262" s="101"/>
      <c r="F262" s="101"/>
      <c r="G262" s="101"/>
      <c r="H262" s="101"/>
      <c r="I262" s="101"/>
      <c r="J262" s="101"/>
      <c r="K262" s="101"/>
      <c r="L262" s="101"/>
      <c r="M262" s="101"/>
      <c r="N262" s="101"/>
      <c r="O262" s="101"/>
    </row>
    <row r="263" spans="2:15" ht="12.75">
      <c r="B263" s="101"/>
      <c r="C263" s="101"/>
      <c r="D263" s="101"/>
      <c r="E263" s="101"/>
      <c r="F263" s="101"/>
      <c r="G263" s="101"/>
      <c r="H263" s="101"/>
      <c r="I263" s="101"/>
      <c r="J263" s="101"/>
      <c r="K263" s="101"/>
      <c r="L263" s="101"/>
      <c r="M263" s="101"/>
      <c r="N263" s="101"/>
      <c r="O263" s="101"/>
    </row>
    <row r="264" spans="2:15" ht="12.75">
      <c r="B264" s="101"/>
      <c r="C264" s="101"/>
      <c r="D264" s="101"/>
      <c r="E264" s="101"/>
      <c r="F264" s="101"/>
      <c r="G264" s="101"/>
      <c r="H264" s="101"/>
      <c r="I264" s="101"/>
      <c r="J264" s="101"/>
      <c r="K264" s="101"/>
      <c r="L264" s="101"/>
      <c r="M264" s="101"/>
      <c r="N264" s="101"/>
      <c r="O264" s="101"/>
    </row>
    <row r="265" spans="2:15" ht="12.75">
      <c r="B265" s="101"/>
      <c r="C265" s="101"/>
      <c r="D265" s="101"/>
      <c r="E265" s="101"/>
      <c r="F265" s="101"/>
      <c r="G265" s="101"/>
      <c r="H265" s="101"/>
      <c r="I265" s="101"/>
      <c r="J265" s="101"/>
      <c r="K265" s="101"/>
      <c r="L265" s="101"/>
      <c r="M265" s="101"/>
      <c r="N265" s="101"/>
      <c r="O265" s="101"/>
    </row>
    <row r="266" spans="2:15" ht="12.75">
      <c r="B266" s="101"/>
      <c r="C266" s="101"/>
      <c r="D266" s="101"/>
      <c r="E266" s="101"/>
      <c r="F266" s="101"/>
      <c r="G266" s="101"/>
      <c r="H266" s="101"/>
      <c r="I266" s="101"/>
      <c r="J266" s="101"/>
      <c r="K266" s="101"/>
      <c r="L266" s="101"/>
      <c r="M266" s="101"/>
      <c r="N266" s="101"/>
      <c r="O266" s="101"/>
    </row>
    <row r="267" spans="2:15" ht="12.75">
      <c r="B267" s="101"/>
      <c r="C267" s="101"/>
      <c r="D267" s="101"/>
      <c r="E267" s="101"/>
      <c r="F267" s="101"/>
      <c r="G267" s="101"/>
      <c r="H267" s="101"/>
      <c r="I267" s="101"/>
      <c r="J267" s="101"/>
      <c r="K267" s="101"/>
      <c r="L267" s="101"/>
      <c r="M267" s="101"/>
      <c r="N267" s="101"/>
      <c r="O267" s="101"/>
    </row>
    <row r="268" spans="2:15" ht="12.75">
      <c r="B268" s="101"/>
      <c r="C268" s="101"/>
      <c r="D268" s="101"/>
      <c r="E268" s="101"/>
      <c r="F268" s="101"/>
      <c r="G268" s="101"/>
      <c r="H268" s="101"/>
      <c r="I268" s="101"/>
      <c r="J268" s="101"/>
      <c r="K268" s="101"/>
      <c r="L268" s="101"/>
      <c r="M268" s="101"/>
      <c r="N268" s="101"/>
      <c r="O268" s="101"/>
    </row>
    <row r="269" spans="2:15" ht="12.75">
      <c r="B269" s="101"/>
      <c r="C269" s="101"/>
      <c r="D269" s="101"/>
      <c r="E269" s="101"/>
      <c r="F269" s="101"/>
      <c r="G269" s="101"/>
      <c r="H269" s="101"/>
      <c r="I269" s="101"/>
      <c r="J269" s="101"/>
      <c r="K269" s="101"/>
      <c r="L269" s="101"/>
      <c r="M269" s="101"/>
      <c r="N269" s="101"/>
      <c r="O269" s="101"/>
    </row>
    <row r="270" spans="2:15" ht="12.75">
      <c r="B270" s="101"/>
      <c r="C270" s="101"/>
      <c r="D270" s="101"/>
      <c r="E270" s="101"/>
      <c r="F270" s="101"/>
      <c r="G270" s="101"/>
      <c r="H270" s="101"/>
      <c r="I270" s="101"/>
      <c r="J270" s="101"/>
      <c r="K270" s="101"/>
      <c r="L270" s="101"/>
      <c r="M270" s="101"/>
      <c r="N270" s="101"/>
      <c r="O270" s="101"/>
    </row>
    <row r="271" spans="2:15" ht="12.75">
      <c r="B271" s="101"/>
      <c r="C271" s="101"/>
      <c r="D271" s="101"/>
      <c r="E271" s="101"/>
      <c r="F271" s="101"/>
      <c r="G271" s="101"/>
      <c r="H271" s="101"/>
      <c r="I271" s="101"/>
      <c r="J271" s="101"/>
      <c r="K271" s="101"/>
      <c r="L271" s="101"/>
      <c r="M271" s="101"/>
      <c r="N271" s="101"/>
      <c r="O271" s="101"/>
    </row>
    <row r="272" spans="2:15" ht="12.75">
      <c r="B272" s="101"/>
      <c r="C272" s="101"/>
      <c r="D272" s="101"/>
      <c r="E272" s="101"/>
      <c r="F272" s="101"/>
      <c r="G272" s="101"/>
      <c r="H272" s="101"/>
      <c r="I272" s="101"/>
      <c r="J272" s="101"/>
      <c r="K272" s="101"/>
      <c r="L272" s="101"/>
      <c r="M272" s="101"/>
      <c r="N272" s="101"/>
      <c r="O272" s="101"/>
    </row>
    <row r="273" spans="2:15" ht="12.75">
      <c r="B273" s="101"/>
      <c r="C273" s="101"/>
      <c r="D273" s="101"/>
      <c r="E273" s="101"/>
      <c r="F273" s="101"/>
      <c r="G273" s="101"/>
      <c r="H273" s="101"/>
      <c r="I273" s="101"/>
      <c r="J273" s="101"/>
      <c r="K273" s="101"/>
      <c r="L273" s="101"/>
      <c r="M273" s="101"/>
      <c r="N273" s="101"/>
      <c r="O273" s="101"/>
    </row>
    <row r="274" spans="2:15" ht="12.75">
      <c r="B274" s="101"/>
      <c r="C274" s="101"/>
      <c r="D274" s="101"/>
      <c r="E274" s="101"/>
      <c r="F274" s="101"/>
      <c r="G274" s="101"/>
      <c r="H274" s="101"/>
      <c r="I274" s="101"/>
      <c r="J274" s="101"/>
      <c r="K274" s="101"/>
      <c r="L274" s="101"/>
      <c r="M274" s="101"/>
      <c r="N274" s="101"/>
      <c r="O274" s="101"/>
    </row>
    <row r="275" spans="2:15" ht="12.75">
      <c r="B275" s="101"/>
      <c r="C275" s="101"/>
      <c r="D275" s="101"/>
      <c r="E275" s="101"/>
      <c r="F275" s="101"/>
      <c r="G275" s="101"/>
      <c r="H275" s="101"/>
      <c r="I275" s="101"/>
      <c r="J275" s="101"/>
      <c r="K275" s="101"/>
      <c r="L275" s="101"/>
      <c r="M275" s="101"/>
      <c r="N275" s="101"/>
      <c r="O275" s="101"/>
    </row>
    <row r="276" spans="2:15" ht="12.75">
      <c r="B276" s="101"/>
      <c r="C276" s="101"/>
      <c r="D276" s="101"/>
      <c r="E276" s="101"/>
      <c r="F276" s="101"/>
      <c r="G276" s="101"/>
      <c r="H276" s="101"/>
      <c r="I276" s="101"/>
      <c r="J276" s="101"/>
      <c r="K276" s="101"/>
      <c r="L276" s="101"/>
      <c r="M276" s="101"/>
      <c r="N276" s="101"/>
      <c r="O276" s="101"/>
    </row>
    <row r="277" spans="2:15" ht="12.75">
      <c r="B277" s="101"/>
      <c r="C277" s="101"/>
      <c r="D277" s="101"/>
      <c r="E277" s="101"/>
      <c r="F277" s="101"/>
      <c r="G277" s="101"/>
      <c r="H277" s="101"/>
      <c r="I277" s="101"/>
      <c r="J277" s="101"/>
      <c r="K277" s="101"/>
      <c r="L277" s="101"/>
      <c r="M277" s="101"/>
      <c r="N277" s="101"/>
      <c r="O277" s="101"/>
    </row>
    <row r="278" spans="2:15" ht="12.75">
      <c r="B278" s="101"/>
      <c r="C278" s="101"/>
      <c r="D278" s="101"/>
      <c r="E278" s="101"/>
      <c r="F278" s="101"/>
      <c r="G278" s="101"/>
      <c r="H278" s="101"/>
      <c r="I278" s="101"/>
      <c r="J278" s="101"/>
      <c r="K278" s="101"/>
      <c r="L278" s="101"/>
      <c r="M278" s="101"/>
      <c r="N278" s="101"/>
      <c r="O278" s="101"/>
    </row>
    <row r="279" spans="2:15" ht="12.75">
      <c r="B279" s="101"/>
      <c r="C279" s="101"/>
      <c r="D279" s="101"/>
      <c r="E279" s="101"/>
      <c r="F279" s="101"/>
      <c r="G279" s="101"/>
      <c r="H279" s="101"/>
      <c r="I279" s="101"/>
      <c r="J279" s="101"/>
      <c r="K279" s="101"/>
      <c r="L279" s="101"/>
      <c r="M279" s="101"/>
      <c r="N279" s="101"/>
      <c r="O279" s="101"/>
    </row>
    <row r="280" spans="2:15" ht="12.75">
      <c r="B280" s="101"/>
      <c r="C280" s="101"/>
      <c r="D280" s="101"/>
      <c r="E280" s="101"/>
      <c r="F280" s="101"/>
      <c r="G280" s="101"/>
      <c r="H280" s="101"/>
      <c r="I280" s="101"/>
      <c r="J280" s="101"/>
      <c r="K280" s="101"/>
      <c r="L280" s="101"/>
      <c r="M280" s="101"/>
      <c r="N280" s="101"/>
      <c r="O280" s="101"/>
    </row>
    <row r="281" spans="2:15" ht="12.75">
      <c r="B281" s="101"/>
      <c r="C281" s="101"/>
      <c r="D281" s="101"/>
      <c r="E281" s="101"/>
      <c r="F281" s="101"/>
      <c r="G281" s="101"/>
      <c r="H281" s="101"/>
      <c r="I281" s="101"/>
      <c r="J281" s="101"/>
      <c r="K281" s="101"/>
      <c r="L281" s="101"/>
      <c r="M281" s="101"/>
      <c r="N281" s="101"/>
      <c r="O281" s="101"/>
    </row>
    <row r="282" spans="2:15" ht="12.75">
      <c r="B282" s="101"/>
      <c r="C282" s="101"/>
      <c r="D282" s="101"/>
      <c r="E282" s="101"/>
      <c r="F282" s="101"/>
      <c r="G282" s="101"/>
      <c r="H282" s="101"/>
      <c r="I282" s="101"/>
      <c r="J282" s="101"/>
      <c r="K282" s="101"/>
      <c r="L282" s="101"/>
      <c r="M282" s="101"/>
      <c r="N282" s="101"/>
      <c r="O282" s="101"/>
    </row>
    <row r="283" spans="2:15" ht="12.75">
      <c r="B283" s="101"/>
      <c r="C283" s="101"/>
      <c r="D283" s="101"/>
      <c r="E283" s="101"/>
      <c r="F283" s="101"/>
      <c r="G283" s="101"/>
      <c r="H283" s="101"/>
      <c r="I283" s="101"/>
      <c r="J283" s="101"/>
      <c r="K283" s="101"/>
      <c r="L283" s="101"/>
      <c r="M283" s="101"/>
      <c r="N283" s="101"/>
      <c r="O283" s="101"/>
    </row>
    <row r="284" spans="2:15" ht="12.75">
      <c r="B284" s="101"/>
      <c r="C284" s="101"/>
      <c r="D284" s="101"/>
      <c r="E284" s="101"/>
      <c r="F284" s="101"/>
      <c r="G284" s="101"/>
      <c r="H284" s="101"/>
      <c r="I284" s="101"/>
      <c r="J284" s="101"/>
      <c r="K284" s="101"/>
      <c r="L284" s="101"/>
      <c r="M284" s="101"/>
      <c r="N284" s="101"/>
      <c r="O284" s="101"/>
    </row>
    <row r="285" spans="2:15" ht="12.75">
      <c r="B285" s="101"/>
      <c r="C285" s="101"/>
      <c r="D285" s="101"/>
      <c r="E285" s="101"/>
      <c r="F285" s="101"/>
      <c r="G285" s="101"/>
      <c r="H285" s="101"/>
      <c r="I285" s="101"/>
      <c r="J285" s="101"/>
      <c r="K285" s="101"/>
      <c r="L285" s="101"/>
      <c r="M285" s="101"/>
      <c r="N285" s="101"/>
      <c r="O285" s="101"/>
    </row>
    <row r="286" spans="2:15" ht="12.75">
      <c r="B286" s="101"/>
      <c r="C286" s="101"/>
      <c r="D286" s="101"/>
      <c r="E286" s="101"/>
      <c r="F286" s="101"/>
      <c r="G286" s="101"/>
      <c r="H286" s="101"/>
      <c r="I286" s="101"/>
      <c r="J286" s="101"/>
      <c r="K286" s="101"/>
      <c r="L286" s="101"/>
      <c r="M286" s="101"/>
      <c r="N286" s="101"/>
      <c r="O286" s="101"/>
    </row>
    <row r="287" spans="2:15" ht="12.75">
      <c r="B287" s="101"/>
      <c r="C287" s="101"/>
      <c r="D287" s="101"/>
      <c r="E287" s="101"/>
      <c r="F287" s="101"/>
      <c r="G287" s="101"/>
      <c r="H287" s="101"/>
      <c r="I287" s="101"/>
      <c r="J287" s="101"/>
      <c r="K287" s="101"/>
      <c r="L287" s="101"/>
      <c r="M287" s="101"/>
      <c r="N287" s="101"/>
      <c r="O287" s="101"/>
    </row>
    <row r="288" spans="2:15" ht="12.75">
      <c r="B288" s="101"/>
      <c r="C288" s="101"/>
      <c r="D288" s="101"/>
      <c r="E288" s="101"/>
      <c r="F288" s="101"/>
      <c r="G288" s="101"/>
      <c r="H288" s="101"/>
      <c r="I288" s="101"/>
      <c r="J288" s="101"/>
      <c r="K288" s="101"/>
      <c r="L288" s="101"/>
      <c r="M288" s="101"/>
      <c r="N288" s="101"/>
      <c r="O288" s="101"/>
    </row>
    <row r="289" spans="2:15" ht="12.75">
      <c r="B289" s="101"/>
      <c r="C289" s="101"/>
      <c r="D289" s="101"/>
      <c r="E289" s="101"/>
      <c r="F289" s="101"/>
      <c r="G289" s="101"/>
      <c r="H289" s="101"/>
      <c r="I289" s="101"/>
      <c r="J289" s="101"/>
      <c r="K289" s="101"/>
      <c r="L289" s="101"/>
      <c r="M289" s="101"/>
      <c r="N289" s="101"/>
      <c r="O289" s="101"/>
    </row>
    <row r="290" spans="2:15" ht="12.75">
      <c r="B290" s="101"/>
      <c r="C290" s="101"/>
      <c r="D290" s="101"/>
      <c r="E290" s="101"/>
      <c r="F290" s="101"/>
      <c r="G290" s="101"/>
      <c r="H290" s="101"/>
      <c r="I290" s="101"/>
      <c r="J290" s="101"/>
      <c r="K290" s="101"/>
      <c r="L290" s="101"/>
      <c r="M290" s="101"/>
      <c r="N290" s="101"/>
      <c r="O290" s="101"/>
    </row>
    <row r="291" spans="2:15" ht="12.75">
      <c r="B291" s="101"/>
      <c r="C291" s="101"/>
      <c r="D291" s="101"/>
      <c r="E291" s="101"/>
      <c r="F291" s="101"/>
      <c r="G291" s="101"/>
      <c r="H291" s="101"/>
      <c r="I291" s="101"/>
      <c r="J291" s="101"/>
      <c r="K291" s="101"/>
      <c r="L291" s="101"/>
      <c r="M291" s="101"/>
      <c r="N291" s="101"/>
      <c r="O291" s="101"/>
    </row>
    <row r="292" spans="2:15" ht="12.75">
      <c r="B292" s="101"/>
      <c r="C292" s="101"/>
      <c r="D292" s="101"/>
      <c r="E292" s="101"/>
      <c r="F292" s="101"/>
      <c r="G292" s="101"/>
      <c r="H292" s="101"/>
      <c r="I292" s="101"/>
      <c r="J292" s="101"/>
      <c r="K292" s="101"/>
      <c r="L292" s="101"/>
      <c r="M292" s="101"/>
      <c r="N292" s="101"/>
      <c r="O292" s="101"/>
    </row>
    <row r="293" spans="2:15" ht="12.75">
      <c r="B293" s="101"/>
      <c r="C293" s="101"/>
      <c r="D293" s="101"/>
      <c r="E293" s="101"/>
      <c r="F293" s="101"/>
      <c r="G293" s="101"/>
      <c r="H293" s="101"/>
      <c r="I293" s="101"/>
      <c r="J293" s="101"/>
      <c r="K293" s="101"/>
      <c r="L293" s="101"/>
      <c r="M293" s="101"/>
      <c r="N293" s="101"/>
      <c r="O293" s="101"/>
    </row>
    <row r="294" spans="2:15" ht="12.75">
      <c r="B294" s="101"/>
      <c r="C294" s="101"/>
      <c r="D294" s="101"/>
      <c r="E294" s="101"/>
      <c r="F294" s="101"/>
      <c r="G294" s="101"/>
      <c r="H294" s="101"/>
      <c r="I294" s="101"/>
      <c r="J294" s="101"/>
      <c r="K294" s="101"/>
      <c r="L294" s="101"/>
      <c r="M294" s="101"/>
      <c r="N294" s="101"/>
      <c r="O294" s="101"/>
    </row>
    <row r="295" spans="2:15" ht="12.75">
      <c r="B295" s="101"/>
      <c r="C295" s="101"/>
      <c r="D295" s="101"/>
      <c r="E295" s="101"/>
      <c r="F295" s="101"/>
      <c r="G295" s="101"/>
      <c r="H295" s="101"/>
      <c r="I295" s="101"/>
      <c r="J295" s="101"/>
      <c r="K295" s="101"/>
      <c r="L295" s="101"/>
      <c r="M295" s="101"/>
      <c r="N295" s="101"/>
      <c r="O295" s="101"/>
    </row>
    <row r="296" spans="2:15" ht="12.75">
      <c r="B296" s="101"/>
      <c r="C296" s="101"/>
      <c r="D296" s="101"/>
      <c r="E296" s="101"/>
      <c r="F296" s="101"/>
      <c r="G296" s="101"/>
      <c r="H296" s="101"/>
      <c r="I296" s="101"/>
      <c r="J296" s="101"/>
      <c r="K296" s="101"/>
      <c r="L296" s="101"/>
      <c r="M296" s="101"/>
      <c r="N296" s="101"/>
      <c r="O296" s="101"/>
    </row>
    <row r="297" spans="2:15" ht="12.75">
      <c r="B297" s="101"/>
      <c r="C297" s="101"/>
      <c r="D297" s="101"/>
      <c r="E297" s="101"/>
      <c r="F297" s="101"/>
      <c r="G297" s="101"/>
      <c r="H297" s="101"/>
      <c r="I297" s="101"/>
      <c r="J297" s="101"/>
      <c r="K297" s="101"/>
      <c r="L297" s="101"/>
      <c r="M297" s="101"/>
      <c r="N297" s="101"/>
      <c r="O297" s="101"/>
    </row>
    <row r="298" spans="2:15" ht="12.75">
      <c r="B298" s="101"/>
      <c r="C298" s="101"/>
      <c r="D298" s="101"/>
      <c r="E298" s="101"/>
      <c r="F298" s="101"/>
      <c r="G298" s="101"/>
      <c r="H298" s="101"/>
      <c r="I298" s="101"/>
      <c r="J298" s="101"/>
      <c r="K298" s="101"/>
      <c r="L298" s="101"/>
      <c r="M298" s="101"/>
      <c r="N298" s="101"/>
      <c r="O298" s="101"/>
    </row>
    <row r="299" spans="2:15" ht="12.75">
      <c r="B299" s="101"/>
      <c r="C299" s="101"/>
      <c r="D299" s="101"/>
      <c r="E299" s="101"/>
      <c r="F299" s="101"/>
      <c r="G299" s="101"/>
      <c r="H299" s="101"/>
      <c r="I299" s="101"/>
      <c r="J299" s="101"/>
      <c r="K299" s="101"/>
      <c r="L299" s="101"/>
      <c r="M299" s="101"/>
      <c r="N299" s="101"/>
      <c r="O299" s="101"/>
    </row>
    <row r="300" spans="2:15" ht="12.75">
      <c r="B300" s="101"/>
      <c r="C300" s="101"/>
      <c r="D300" s="101"/>
      <c r="E300" s="101"/>
      <c r="F300" s="101"/>
      <c r="G300" s="101"/>
      <c r="H300" s="101"/>
      <c r="I300" s="101"/>
      <c r="J300" s="101"/>
      <c r="K300" s="101"/>
      <c r="L300" s="101"/>
      <c r="M300" s="101"/>
      <c r="N300" s="101"/>
      <c r="O300" s="101"/>
    </row>
    <row r="301" spans="2:15" ht="12.75">
      <c r="B301" s="101"/>
      <c r="C301" s="101"/>
      <c r="D301" s="101"/>
      <c r="E301" s="101"/>
      <c r="F301" s="101"/>
      <c r="G301" s="101"/>
      <c r="H301" s="101"/>
      <c r="I301" s="101"/>
      <c r="J301" s="101"/>
      <c r="K301" s="101"/>
      <c r="L301" s="101"/>
      <c r="M301" s="101"/>
      <c r="N301" s="101"/>
      <c r="O301" s="101"/>
    </row>
    <row r="302" spans="2:15" ht="12.75">
      <c r="B302" s="101"/>
      <c r="C302" s="101"/>
      <c r="D302" s="101"/>
      <c r="E302" s="101"/>
      <c r="F302" s="101"/>
      <c r="G302" s="101"/>
      <c r="H302" s="101"/>
      <c r="I302" s="101"/>
      <c r="J302" s="101"/>
      <c r="K302" s="101"/>
      <c r="L302" s="101"/>
      <c r="M302" s="101"/>
      <c r="N302" s="101"/>
      <c r="O302" s="101"/>
    </row>
    <row r="303" spans="2:15" ht="12.75">
      <c r="B303" s="101"/>
      <c r="C303" s="101"/>
      <c r="D303" s="101"/>
      <c r="E303" s="101"/>
      <c r="F303" s="101"/>
      <c r="G303" s="101"/>
      <c r="H303" s="101"/>
      <c r="I303" s="101"/>
      <c r="J303" s="101"/>
      <c r="K303" s="101"/>
      <c r="L303" s="101"/>
      <c r="M303" s="101"/>
      <c r="N303" s="101"/>
      <c r="O303" s="101"/>
    </row>
    <row r="304" spans="2:15" ht="12.75">
      <c r="B304" s="101"/>
      <c r="C304" s="101"/>
      <c r="D304" s="101"/>
      <c r="E304" s="101"/>
      <c r="F304" s="101"/>
      <c r="G304" s="101"/>
      <c r="H304" s="101"/>
      <c r="I304" s="101"/>
      <c r="J304" s="101"/>
      <c r="K304" s="101"/>
      <c r="L304" s="101"/>
      <c r="M304" s="101"/>
      <c r="N304" s="101"/>
      <c r="O304" s="101"/>
    </row>
    <row r="305" spans="2:15" ht="12.75">
      <c r="B305" s="101"/>
      <c r="C305" s="101"/>
      <c r="D305" s="101"/>
      <c r="E305" s="101"/>
      <c r="F305" s="101"/>
      <c r="G305" s="101"/>
      <c r="H305" s="101"/>
      <c r="I305" s="101"/>
      <c r="J305" s="101"/>
      <c r="K305" s="101"/>
      <c r="L305" s="101"/>
      <c r="M305" s="101"/>
      <c r="N305" s="101"/>
      <c r="O305" s="101"/>
    </row>
    <row r="306" spans="2:15" ht="12.75">
      <c r="B306" s="101"/>
      <c r="C306" s="101"/>
      <c r="D306" s="101"/>
      <c r="E306" s="101"/>
      <c r="F306" s="101"/>
      <c r="G306" s="101"/>
      <c r="H306" s="101"/>
      <c r="I306" s="101"/>
      <c r="J306" s="101"/>
      <c r="K306" s="101"/>
      <c r="L306" s="101"/>
      <c r="M306" s="101"/>
      <c r="N306" s="101"/>
      <c r="O306" s="101"/>
    </row>
    <row r="307" spans="2:15" ht="12.75">
      <c r="B307" s="101"/>
      <c r="C307" s="101"/>
      <c r="D307" s="101"/>
      <c r="E307" s="101"/>
      <c r="F307" s="101"/>
      <c r="G307" s="101"/>
      <c r="H307" s="101"/>
      <c r="I307" s="101"/>
      <c r="J307" s="101"/>
      <c r="K307" s="101"/>
      <c r="L307" s="101"/>
      <c r="M307" s="101"/>
      <c r="N307" s="101"/>
      <c r="O307" s="101"/>
    </row>
    <row r="308" spans="2:15" ht="12.75">
      <c r="B308" s="101"/>
      <c r="C308" s="101"/>
      <c r="D308" s="101"/>
      <c r="E308" s="101"/>
      <c r="F308" s="101"/>
      <c r="G308" s="101"/>
      <c r="H308" s="101"/>
      <c r="I308" s="101"/>
      <c r="J308" s="101"/>
      <c r="K308" s="101"/>
      <c r="L308" s="101"/>
      <c r="M308" s="101"/>
      <c r="N308" s="101"/>
      <c r="O308" s="101"/>
    </row>
    <row r="309" spans="2:15" ht="12.75">
      <c r="B309" s="101"/>
      <c r="C309" s="101"/>
      <c r="D309" s="101"/>
      <c r="E309" s="101"/>
      <c r="F309" s="101"/>
      <c r="G309" s="101"/>
      <c r="H309" s="101"/>
      <c r="I309" s="101"/>
      <c r="J309" s="101"/>
      <c r="K309" s="101"/>
      <c r="L309" s="101"/>
      <c r="M309" s="101"/>
      <c r="N309" s="101"/>
      <c r="O309" s="101"/>
    </row>
    <row r="310" spans="2:15" ht="12.75">
      <c r="B310" s="101"/>
      <c r="C310" s="101"/>
      <c r="D310" s="101"/>
      <c r="E310" s="101"/>
      <c r="F310" s="101"/>
      <c r="G310" s="101"/>
      <c r="H310" s="101"/>
      <c r="I310" s="101"/>
      <c r="J310" s="101"/>
      <c r="K310" s="101"/>
      <c r="L310" s="101"/>
      <c r="M310" s="101"/>
      <c r="N310" s="101"/>
      <c r="O310" s="101"/>
    </row>
    <row r="311" spans="2:15" ht="12.75">
      <c r="B311" s="101"/>
      <c r="C311" s="101"/>
      <c r="D311" s="101"/>
      <c r="E311" s="101"/>
      <c r="F311" s="101"/>
      <c r="G311" s="101"/>
      <c r="H311" s="101"/>
      <c r="I311" s="101"/>
      <c r="J311" s="101"/>
      <c r="K311" s="101"/>
      <c r="L311" s="101"/>
      <c r="M311" s="101"/>
      <c r="N311" s="101"/>
      <c r="O311" s="101"/>
    </row>
    <row r="312" spans="2:15" ht="12.75">
      <c r="B312" s="101"/>
      <c r="C312" s="101"/>
      <c r="D312" s="101"/>
      <c r="E312" s="101"/>
      <c r="F312" s="101"/>
      <c r="G312" s="101"/>
      <c r="H312" s="101"/>
      <c r="I312" s="101"/>
      <c r="J312" s="101"/>
      <c r="K312" s="101"/>
      <c r="L312" s="101"/>
      <c r="M312" s="101"/>
      <c r="N312" s="101"/>
      <c r="O312" s="101"/>
    </row>
    <row r="313" spans="2:15" ht="12.75">
      <c r="B313" s="101"/>
      <c r="C313" s="101"/>
      <c r="D313" s="101"/>
      <c r="E313" s="101"/>
      <c r="F313" s="101"/>
      <c r="G313" s="101"/>
      <c r="H313" s="101"/>
      <c r="I313" s="101"/>
      <c r="J313" s="101"/>
      <c r="K313" s="101"/>
      <c r="L313" s="101"/>
      <c r="M313" s="101"/>
      <c r="N313" s="101"/>
      <c r="O313" s="101"/>
    </row>
    <row r="314" spans="2:15" ht="12.75">
      <c r="B314" s="101"/>
      <c r="C314" s="101"/>
      <c r="D314" s="101"/>
      <c r="E314" s="101"/>
      <c r="F314" s="101"/>
      <c r="G314" s="101"/>
      <c r="H314" s="101"/>
      <c r="I314" s="101"/>
      <c r="J314" s="101"/>
      <c r="K314" s="101"/>
      <c r="L314" s="101"/>
      <c r="M314" s="101"/>
      <c r="N314" s="101"/>
      <c r="O314" s="101"/>
    </row>
    <row r="315" spans="2:15" ht="12.75">
      <c r="B315" s="101"/>
      <c r="C315" s="101"/>
      <c r="D315" s="101"/>
      <c r="E315" s="101"/>
      <c r="F315" s="101"/>
      <c r="G315" s="101"/>
      <c r="H315" s="101"/>
      <c r="I315" s="101"/>
      <c r="J315" s="101"/>
      <c r="K315" s="101"/>
      <c r="L315" s="101"/>
      <c r="M315" s="101"/>
      <c r="N315" s="101"/>
      <c r="O315" s="101"/>
    </row>
    <row r="316" spans="2:15" ht="12.75">
      <c r="B316" s="101"/>
      <c r="C316" s="101"/>
      <c r="D316" s="101"/>
      <c r="E316" s="101"/>
      <c r="F316" s="101"/>
      <c r="G316" s="101"/>
      <c r="H316" s="101"/>
      <c r="I316" s="101"/>
      <c r="J316" s="101"/>
      <c r="K316" s="101"/>
      <c r="L316" s="101"/>
      <c r="M316" s="101"/>
      <c r="N316" s="101"/>
      <c r="O316" s="101"/>
    </row>
    <row r="317" spans="2:15" ht="12.75">
      <c r="B317" s="101"/>
      <c r="C317" s="101"/>
      <c r="D317" s="101"/>
      <c r="E317" s="101"/>
      <c r="F317" s="101"/>
      <c r="G317" s="101"/>
      <c r="H317" s="101"/>
      <c r="I317" s="101"/>
      <c r="J317" s="101"/>
      <c r="K317" s="101"/>
      <c r="L317" s="101"/>
      <c r="M317" s="101"/>
      <c r="N317" s="101"/>
      <c r="O317" s="101"/>
    </row>
    <row r="318" spans="2:15" ht="12.75">
      <c r="B318" s="101"/>
      <c r="C318" s="101"/>
      <c r="D318" s="101"/>
      <c r="E318" s="101"/>
      <c r="F318" s="101"/>
      <c r="G318" s="101"/>
      <c r="H318" s="101"/>
      <c r="I318" s="101"/>
      <c r="J318" s="101"/>
      <c r="K318" s="101"/>
      <c r="L318" s="101"/>
      <c r="M318" s="101"/>
      <c r="N318" s="101"/>
      <c r="O318" s="101"/>
    </row>
    <row r="319" spans="2:15" ht="12.75">
      <c r="B319" s="101"/>
      <c r="C319" s="101"/>
      <c r="D319" s="101"/>
      <c r="E319" s="101"/>
      <c r="F319" s="101"/>
      <c r="G319" s="101"/>
      <c r="H319" s="101"/>
      <c r="I319" s="101"/>
      <c r="J319" s="101"/>
      <c r="K319" s="101"/>
      <c r="L319" s="101"/>
      <c r="M319" s="101"/>
      <c r="N319" s="101"/>
      <c r="O319" s="101"/>
    </row>
    <row r="320" spans="2:15" ht="12.75">
      <c r="B320" s="101"/>
      <c r="C320" s="101"/>
      <c r="D320" s="101"/>
      <c r="E320" s="101"/>
      <c r="F320" s="101"/>
      <c r="G320" s="101"/>
      <c r="H320" s="101"/>
      <c r="I320" s="101"/>
      <c r="J320" s="101"/>
      <c r="K320" s="101"/>
      <c r="L320" s="101"/>
      <c r="M320" s="101"/>
      <c r="N320" s="101"/>
      <c r="O320" s="101"/>
    </row>
    <row r="321" spans="2:15" ht="12.75">
      <c r="B321" s="101"/>
      <c r="C321" s="101"/>
      <c r="D321" s="101"/>
      <c r="E321" s="101"/>
      <c r="F321" s="101"/>
      <c r="G321" s="101"/>
      <c r="H321" s="101"/>
      <c r="I321" s="101"/>
      <c r="J321" s="101"/>
      <c r="K321" s="101"/>
      <c r="L321" s="101"/>
      <c r="M321" s="101"/>
      <c r="N321" s="101"/>
      <c r="O321" s="101"/>
    </row>
    <row r="322" spans="2:15" ht="12.75">
      <c r="B322" s="101"/>
      <c r="C322" s="101"/>
      <c r="D322" s="101"/>
      <c r="E322" s="101"/>
      <c r="F322" s="101"/>
      <c r="G322" s="101"/>
      <c r="H322" s="101"/>
      <c r="I322" s="101"/>
      <c r="J322" s="101"/>
      <c r="K322" s="101"/>
      <c r="L322" s="101"/>
      <c r="M322" s="101"/>
      <c r="N322" s="101"/>
      <c r="O322" s="101"/>
    </row>
    <row r="323" spans="2:15" ht="12.75">
      <c r="B323" s="101"/>
      <c r="C323" s="101"/>
      <c r="D323" s="101"/>
      <c r="E323" s="101"/>
      <c r="F323" s="101"/>
      <c r="G323" s="101"/>
      <c r="H323" s="101"/>
      <c r="I323" s="101"/>
      <c r="J323" s="101"/>
      <c r="K323" s="101"/>
      <c r="L323" s="101"/>
      <c r="M323" s="101"/>
      <c r="N323" s="101"/>
      <c r="O323" s="101"/>
    </row>
    <row r="324" spans="2:15" ht="12.75">
      <c r="B324" s="101"/>
      <c r="C324" s="101"/>
      <c r="D324" s="101"/>
      <c r="E324" s="101"/>
      <c r="F324" s="101"/>
      <c r="G324" s="101"/>
      <c r="H324" s="101"/>
      <c r="I324" s="101"/>
      <c r="J324" s="101"/>
      <c r="K324" s="101"/>
      <c r="L324" s="101"/>
      <c r="M324" s="101"/>
      <c r="N324" s="101"/>
      <c r="O324" s="101"/>
    </row>
    <row r="325" spans="2:15" ht="12.75">
      <c r="B325" s="101"/>
      <c r="C325" s="101"/>
      <c r="D325" s="101"/>
      <c r="E325" s="101"/>
      <c r="F325" s="101"/>
      <c r="G325" s="101"/>
      <c r="H325" s="101"/>
      <c r="I325" s="101"/>
      <c r="J325" s="101"/>
      <c r="K325" s="101"/>
      <c r="L325" s="101"/>
      <c r="M325" s="101"/>
      <c r="N325" s="101"/>
      <c r="O325" s="101"/>
    </row>
    <row r="326" spans="2:15" ht="12.75">
      <c r="B326" s="101"/>
      <c r="C326" s="101"/>
      <c r="D326" s="101"/>
      <c r="E326" s="101"/>
      <c r="F326" s="101"/>
      <c r="G326" s="101"/>
      <c r="H326" s="101"/>
      <c r="I326" s="101"/>
      <c r="J326" s="101"/>
      <c r="K326" s="101"/>
      <c r="L326" s="101"/>
      <c r="M326" s="101"/>
      <c r="N326" s="101"/>
      <c r="O326" s="101"/>
    </row>
    <row r="327" spans="2:15" ht="12.75">
      <c r="B327" s="101"/>
      <c r="C327" s="101"/>
      <c r="D327" s="101"/>
      <c r="E327" s="101"/>
      <c r="F327" s="101"/>
      <c r="G327" s="101"/>
      <c r="H327" s="101"/>
      <c r="I327" s="101"/>
      <c r="J327" s="101"/>
      <c r="K327" s="101"/>
      <c r="L327" s="101"/>
      <c r="M327" s="101"/>
      <c r="N327" s="101"/>
      <c r="O327" s="101"/>
    </row>
    <row r="328" spans="2:15" ht="12.75">
      <c r="B328" s="101"/>
      <c r="C328" s="101"/>
      <c r="D328" s="101"/>
      <c r="E328" s="101"/>
      <c r="F328" s="101"/>
      <c r="G328" s="101"/>
      <c r="H328" s="101"/>
      <c r="I328" s="101"/>
      <c r="J328" s="101"/>
      <c r="K328" s="101"/>
      <c r="L328" s="101"/>
      <c r="M328" s="101"/>
      <c r="N328" s="101"/>
      <c r="O328" s="101"/>
    </row>
    <row r="329" spans="2:15" ht="12.75">
      <c r="B329" s="101"/>
      <c r="C329" s="101"/>
      <c r="D329" s="101"/>
      <c r="E329" s="101"/>
      <c r="F329" s="101"/>
      <c r="G329" s="101"/>
      <c r="H329" s="101"/>
      <c r="I329" s="101"/>
      <c r="J329" s="101"/>
      <c r="K329" s="101"/>
      <c r="L329" s="101"/>
      <c r="M329" s="101"/>
      <c r="N329" s="101"/>
      <c r="O329" s="101"/>
    </row>
    <row r="330" spans="2:15" ht="12.75">
      <c r="B330" s="101"/>
      <c r="C330" s="101"/>
      <c r="D330" s="101"/>
      <c r="E330" s="101"/>
      <c r="F330" s="101"/>
      <c r="G330" s="101"/>
      <c r="H330" s="101"/>
      <c r="I330" s="101"/>
      <c r="J330" s="101"/>
      <c r="K330" s="101"/>
      <c r="L330" s="101"/>
      <c r="M330" s="101"/>
      <c r="N330" s="101"/>
      <c r="O330" s="101"/>
    </row>
    <row r="331" spans="2:15" ht="12.75">
      <c r="B331" s="101"/>
      <c r="C331" s="101"/>
      <c r="D331" s="101"/>
      <c r="E331" s="101"/>
      <c r="F331" s="101"/>
      <c r="G331" s="101"/>
      <c r="H331" s="101"/>
      <c r="I331" s="101"/>
      <c r="J331" s="101"/>
      <c r="K331" s="101"/>
      <c r="L331" s="101"/>
      <c r="M331" s="101"/>
      <c r="N331" s="101"/>
      <c r="O331" s="101"/>
    </row>
    <row r="332" spans="2:15" ht="12.75">
      <c r="B332" s="101"/>
      <c r="C332" s="101"/>
      <c r="D332" s="101"/>
      <c r="E332" s="101"/>
      <c r="F332" s="101"/>
      <c r="G332" s="101"/>
      <c r="H332" s="101"/>
      <c r="I332" s="101"/>
      <c r="J332" s="101"/>
      <c r="K332" s="101"/>
      <c r="L332" s="101"/>
      <c r="M332" s="101"/>
      <c r="N332" s="101"/>
      <c r="O332" s="101"/>
    </row>
    <row r="333" spans="2:15" ht="12.75">
      <c r="B333" s="101"/>
      <c r="C333" s="101"/>
      <c r="D333" s="101"/>
      <c r="E333" s="101"/>
      <c r="F333" s="101"/>
      <c r="G333" s="101"/>
      <c r="H333" s="101"/>
      <c r="I333" s="101"/>
      <c r="J333" s="101"/>
      <c r="K333" s="101"/>
      <c r="L333" s="101"/>
      <c r="M333" s="101"/>
      <c r="N333" s="101"/>
      <c r="O333" s="101"/>
    </row>
    <row r="334" spans="2:15" ht="12.75">
      <c r="B334" s="101"/>
      <c r="C334" s="101"/>
      <c r="D334" s="101"/>
      <c r="E334" s="101"/>
      <c r="F334" s="101"/>
      <c r="G334" s="101"/>
      <c r="H334" s="101"/>
      <c r="I334" s="101"/>
      <c r="J334" s="101"/>
      <c r="K334" s="101"/>
      <c r="L334" s="101"/>
      <c r="M334" s="101"/>
      <c r="N334" s="101"/>
      <c r="O334" s="101"/>
    </row>
    <row r="335" spans="2:15" ht="12.75">
      <c r="B335" s="101"/>
      <c r="C335" s="101"/>
      <c r="D335" s="101"/>
      <c r="E335" s="101"/>
      <c r="F335" s="101"/>
      <c r="G335" s="101"/>
      <c r="H335" s="101"/>
      <c r="I335" s="101"/>
      <c r="J335" s="101"/>
      <c r="K335" s="101"/>
      <c r="L335" s="101"/>
      <c r="M335" s="101"/>
      <c r="N335" s="101"/>
      <c r="O335" s="101"/>
    </row>
    <row r="336" spans="2:15" ht="12.75">
      <c r="B336" s="101"/>
      <c r="C336" s="101"/>
      <c r="D336" s="101"/>
      <c r="E336" s="101"/>
      <c r="F336" s="101"/>
      <c r="G336" s="101"/>
      <c r="H336" s="101"/>
      <c r="I336" s="101"/>
      <c r="J336" s="101"/>
      <c r="K336" s="101"/>
      <c r="L336" s="101"/>
      <c r="M336" s="101"/>
      <c r="N336" s="101"/>
      <c r="O336" s="101"/>
    </row>
    <row r="337" spans="2:15" ht="12.75">
      <c r="B337" s="101"/>
      <c r="C337" s="101"/>
      <c r="D337" s="101"/>
      <c r="E337" s="101"/>
      <c r="F337" s="101"/>
      <c r="G337" s="101"/>
      <c r="H337" s="101"/>
      <c r="I337" s="101"/>
      <c r="J337" s="101"/>
      <c r="K337" s="101"/>
      <c r="L337" s="101"/>
      <c r="M337" s="101"/>
      <c r="N337" s="101"/>
      <c r="O337" s="101"/>
    </row>
    <row r="338" spans="2:15" ht="12.75">
      <c r="B338" s="101"/>
      <c r="C338" s="101"/>
      <c r="D338" s="101"/>
      <c r="E338" s="101"/>
      <c r="F338" s="101"/>
      <c r="G338" s="101"/>
      <c r="H338" s="101"/>
      <c r="I338" s="101"/>
      <c r="J338" s="101"/>
      <c r="K338" s="101"/>
      <c r="L338" s="101"/>
      <c r="M338" s="101"/>
      <c r="N338" s="101"/>
      <c r="O338" s="101"/>
    </row>
    <row r="339" spans="2:15" ht="12.75">
      <c r="B339" s="101"/>
      <c r="C339" s="101"/>
      <c r="D339" s="101"/>
      <c r="E339" s="101"/>
      <c r="F339" s="101"/>
      <c r="G339" s="101"/>
      <c r="H339" s="101"/>
      <c r="I339" s="101"/>
      <c r="J339" s="101"/>
      <c r="K339" s="101"/>
      <c r="L339" s="101"/>
      <c r="M339" s="101"/>
      <c r="N339" s="101"/>
      <c r="O339" s="101"/>
    </row>
    <row r="340" spans="2:15" ht="12.75">
      <c r="B340" s="101"/>
      <c r="C340" s="101"/>
      <c r="D340" s="101"/>
      <c r="E340" s="101"/>
      <c r="F340" s="101"/>
      <c r="G340" s="101"/>
      <c r="H340" s="101"/>
      <c r="I340" s="101"/>
      <c r="J340" s="101"/>
      <c r="K340" s="101"/>
      <c r="L340" s="101"/>
      <c r="M340" s="101"/>
      <c r="N340" s="101"/>
      <c r="O340" s="101"/>
    </row>
    <row r="341" spans="2:15" ht="12.75">
      <c r="B341" s="101"/>
      <c r="C341" s="101"/>
      <c r="D341" s="101"/>
      <c r="E341" s="101"/>
      <c r="F341" s="101"/>
      <c r="G341" s="101"/>
      <c r="H341" s="101"/>
      <c r="I341" s="101"/>
      <c r="J341" s="101"/>
      <c r="K341" s="101"/>
      <c r="L341" s="101"/>
      <c r="M341" s="101"/>
      <c r="N341" s="101"/>
      <c r="O341" s="101"/>
    </row>
    <row r="342" spans="2:15" ht="12.75">
      <c r="B342" s="101"/>
      <c r="C342" s="101"/>
      <c r="D342" s="101"/>
      <c r="E342" s="101"/>
      <c r="F342" s="101"/>
      <c r="G342" s="101"/>
      <c r="H342" s="101"/>
      <c r="I342" s="101"/>
      <c r="J342" s="101"/>
      <c r="K342" s="101"/>
      <c r="L342" s="101"/>
      <c r="M342" s="101"/>
      <c r="N342" s="101"/>
      <c r="O342" s="101"/>
    </row>
    <row r="343" spans="2:15" ht="12.75">
      <c r="B343" s="101"/>
      <c r="C343" s="101"/>
      <c r="D343" s="101"/>
      <c r="E343" s="101"/>
      <c r="F343" s="101"/>
      <c r="G343" s="101"/>
      <c r="H343" s="101"/>
      <c r="I343" s="101"/>
      <c r="J343" s="101"/>
      <c r="K343" s="101"/>
      <c r="L343" s="101"/>
      <c r="M343" s="101"/>
      <c r="N343" s="101"/>
      <c r="O343" s="101"/>
    </row>
    <row r="344" spans="2:15" ht="12.75">
      <c r="B344" s="101"/>
      <c r="C344" s="101"/>
      <c r="D344" s="101"/>
      <c r="E344" s="101"/>
      <c r="F344" s="101"/>
      <c r="G344" s="101"/>
      <c r="H344" s="101"/>
      <c r="I344" s="101"/>
      <c r="J344" s="101"/>
      <c r="K344" s="101"/>
      <c r="L344" s="101"/>
      <c r="M344" s="101"/>
      <c r="N344" s="101"/>
      <c r="O344" s="101"/>
    </row>
    <row r="345" spans="2:15" ht="12.75">
      <c r="B345" s="101"/>
      <c r="C345" s="101"/>
      <c r="D345" s="101"/>
      <c r="E345" s="101"/>
      <c r="F345" s="101"/>
      <c r="G345" s="101"/>
      <c r="H345" s="101"/>
      <c r="I345" s="101"/>
      <c r="J345" s="101"/>
      <c r="K345" s="101"/>
      <c r="L345" s="101"/>
      <c r="M345" s="101"/>
      <c r="N345" s="101"/>
      <c r="O345" s="101"/>
    </row>
    <row r="346" spans="2:15" ht="12.75">
      <c r="B346" s="101"/>
      <c r="C346" s="101"/>
      <c r="D346" s="101"/>
      <c r="E346" s="101"/>
      <c r="F346" s="101"/>
      <c r="G346" s="101"/>
      <c r="H346" s="101"/>
      <c r="I346" s="101"/>
      <c r="J346" s="101"/>
      <c r="K346" s="101"/>
      <c r="L346" s="101"/>
      <c r="M346" s="101"/>
      <c r="N346" s="101"/>
      <c r="O346" s="101"/>
    </row>
    <row r="347" spans="2:15" ht="12.75">
      <c r="B347" s="101"/>
      <c r="C347" s="101"/>
      <c r="D347" s="101"/>
      <c r="E347" s="101"/>
      <c r="F347" s="101"/>
      <c r="G347" s="101"/>
      <c r="H347" s="101"/>
      <c r="I347" s="101"/>
      <c r="J347" s="101"/>
      <c r="K347" s="101"/>
      <c r="L347" s="101"/>
      <c r="M347" s="101"/>
      <c r="N347" s="101"/>
      <c r="O347" s="101"/>
    </row>
    <row r="348" spans="2:15" ht="12.75">
      <c r="B348" s="101"/>
      <c r="C348" s="101"/>
      <c r="D348" s="101"/>
      <c r="E348" s="101"/>
      <c r="F348" s="101"/>
      <c r="G348" s="101"/>
      <c r="H348" s="101"/>
      <c r="I348" s="101"/>
      <c r="J348" s="101"/>
      <c r="K348" s="101"/>
      <c r="L348" s="101"/>
      <c r="M348" s="101"/>
      <c r="N348" s="101"/>
      <c r="O348" s="101"/>
    </row>
    <row r="349" spans="2:15" ht="12.75">
      <c r="B349" s="101"/>
      <c r="C349" s="101"/>
      <c r="D349" s="101"/>
      <c r="E349" s="101"/>
      <c r="F349" s="101"/>
      <c r="G349" s="101"/>
      <c r="H349" s="101"/>
      <c r="I349" s="101"/>
      <c r="J349" s="101"/>
      <c r="K349" s="101"/>
      <c r="L349" s="101"/>
      <c r="M349" s="101"/>
      <c r="N349" s="101"/>
      <c r="O349" s="101"/>
    </row>
    <row r="350" spans="2:15" ht="12.75">
      <c r="B350" s="101"/>
      <c r="C350" s="101"/>
      <c r="D350" s="101"/>
      <c r="E350" s="101"/>
      <c r="F350" s="101"/>
      <c r="G350" s="101"/>
      <c r="H350" s="101"/>
      <c r="I350" s="101"/>
      <c r="J350" s="101"/>
      <c r="K350" s="101"/>
      <c r="L350" s="101"/>
      <c r="M350" s="101"/>
      <c r="N350" s="101"/>
      <c r="O350" s="101"/>
    </row>
    <row r="351" spans="2:15" ht="12.75">
      <c r="B351" s="101"/>
      <c r="C351" s="101"/>
      <c r="D351" s="101"/>
      <c r="E351" s="101"/>
      <c r="F351" s="101"/>
      <c r="G351" s="101"/>
      <c r="H351" s="101"/>
      <c r="I351" s="101"/>
      <c r="J351" s="101"/>
      <c r="K351" s="101"/>
      <c r="L351" s="101"/>
      <c r="M351" s="101"/>
      <c r="N351" s="101"/>
      <c r="O351" s="101"/>
    </row>
    <row r="352" spans="2:15" ht="12.75">
      <c r="B352" s="101"/>
      <c r="C352" s="101"/>
      <c r="D352" s="101"/>
      <c r="E352" s="101"/>
      <c r="F352" s="101"/>
      <c r="G352" s="101"/>
      <c r="H352" s="101"/>
      <c r="I352" s="101"/>
      <c r="J352" s="101"/>
      <c r="K352" s="101"/>
      <c r="L352" s="101"/>
      <c r="M352" s="101"/>
      <c r="N352" s="101"/>
      <c r="O352" s="101"/>
    </row>
    <row r="353" spans="2:15" ht="12.75">
      <c r="B353" s="101"/>
      <c r="C353" s="101"/>
      <c r="D353" s="101"/>
      <c r="E353" s="101"/>
      <c r="F353" s="101"/>
      <c r="G353" s="101"/>
      <c r="H353" s="101"/>
      <c r="I353" s="101"/>
      <c r="J353" s="101"/>
      <c r="K353" s="101"/>
      <c r="L353" s="101"/>
      <c r="M353" s="101"/>
      <c r="N353" s="101"/>
      <c r="O353" s="101"/>
    </row>
    <row r="354" spans="2:15" ht="12.75">
      <c r="B354" s="101"/>
      <c r="C354" s="101"/>
      <c r="D354" s="101"/>
      <c r="E354" s="101"/>
      <c r="F354" s="101"/>
      <c r="G354" s="101"/>
      <c r="H354" s="101"/>
      <c r="I354" s="101"/>
      <c r="J354" s="101"/>
      <c r="K354" s="101"/>
      <c r="L354" s="101"/>
      <c r="M354" s="101"/>
      <c r="N354" s="101"/>
      <c r="O354" s="101"/>
    </row>
    <row r="355" spans="2:15" ht="12.75">
      <c r="B355" s="101"/>
      <c r="C355" s="101"/>
      <c r="D355" s="101"/>
      <c r="E355" s="101"/>
      <c r="F355" s="101"/>
      <c r="G355" s="101"/>
      <c r="H355" s="101"/>
      <c r="I355" s="101"/>
      <c r="J355" s="101"/>
      <c r="K355" s="101"/>
      <c r="L355" s="101"/>
      <c r="M355" s="101"/>
      <c r="N355" s="101"/>
      <c r="O355" s="101"/>
    </row>
    <row r="356" spans="2:15" ht="12.75">
      <c r="B356" s="101"/>
      <c r="C356" s="101"/>
      <c r="D356" s="101"/>
      <c r="E356" s="101"/>
      <c r="F356" s="101"/>
      <c r="G356" s="101"/>
      <c r="H356" s="101"/>
      <c r="I356" s="101"/>
      <c r="J356" s="101"/>
      <c r="K356" s="101"/>
      <c r="L356" s="101"/>
      <c r="M356" s="101"/>
      <c r="N356" s="101"/>
      <c r="O356" s="101"/>
    </row>
    <row r="357" spans="2:15" ht="12.75">
      <c r="B357" s="101"/>
      <c r="C357" s="101"/>
      <c r="D357" s="101"/>
      <c r="E357" s="101"/>
      <c r="F357" s="101"/>
      <c r="G357" s="101"/>
      <c r="H357" s="101"/>
      <c r="I357" s="101"/>
      <c r="J357" s="101"/>
      <c r="K357" s="101"/>
      <c r="L357" s="101"/>
      <c r="M357" s="101"/>
      <c r="N357" s="101"/>
      <c r="O357" s="101"/>
    </row>
    <row r="358" spans="2:15" ht="12.75">
      <c r="B358" s="101"/>
      <c r="C358" s="101"/>
      <c r="D358" s="101"/>
      <c r="E358" s="101"/>
      <c r="F358" s="101"/>
      <c r="G358" s="101"/>
      <c r="H358" s="101"/>
      <c r="I358" s="101"/>
      <c r="J358" s="101"/>
      <c r="K358" s="101"/>
      <c r="L358" s="101"/>
      <c r="M358" s="101"/>
      <c r="N358" s="101"/>
      <c r="O358" s="101"/>
    </row>
    <row r="359" spans="2:15" ht="12.75">
      <c r="B359" s="101"/>
      <c r="C359" s="101"/>
      <c r="D359" s="101"/>
      <c r="E359" s="101"/>
      <c r="F359" s="101"/>
      <c r="G359" s="101"/>
      <c r="H359" s="101"/>
      <c r="I359" s="101"/>
      <c r="J359" s="101"/>
      <c r="K359" s="101"/>
      <c r="L359" s="101"/>
      <c r="M359" s="101"/>
      <c r="N359" s="101"/>
      <c r="O359" s="101"/>
    </row>
    <row r="360" spans="2:15" ht="12.75">
      <c r="B360" s="101"/>
      <c r="C360" s="101"/>
      <c r="D360" s="101"/>
      <c r="E360" s="101"/>
      <c r="F360" s="101"/>
      <c r="G360" s="101"/>
      <c r="H360" s="101"/>
      <c r="I360" s="101"/>
      <c r="J360" s="101"/>
      <c r="K360" s="101"/>
      <c r="L360" s="101"/>
      <c r="M360" s="101"/>
      <c r="N360" s="101"/>
      <c r="O360" s="101"/>
    </row>
    <row r="361" spans="2:15" ht="12.75">
      <c r="B361" s="101"/>
      <c r="C361" s="101"/>
      <c r="D361" s="101"/>
      <c r="E361" s="101"/>
      <c r="F361" s="101"/>
      <c r="G361" s="101"/>
      <c r="H361" s="101"/>
      <c r="I361" s="101"/>
      <c r="J361" s="101"/>
      <c r="K361" s="101"/>
      <c r="L361" s="101"/>
      <c r="M361" s="101"/>
      <c r="N361" s="101"/>
      <c r="O361" s="101"/>
    </row>
    <row r="362" spans="2:15" ht="12.75">
      <c r="B362" s="101"/>
      <c r="C362" s="101"/>
      <c r="D362" s="101"/>
      <c r="E362" s="101"/>
      <c r="F362" s="101"/>
      <c r="G362" s="101"/>
      <c r="H362" s="101"/>
      <c r="I362" s="101"/>
      <c r="J362" s="101"/>
      <c r="K362" s="101"/>
      <c r="L362" s="101"/>
      <c r="M362" s="101"/>
      <c r="N362" s="101"/>
      <c r="O362" s="101"/>
    </row>
    <row r="363" spans="2:15" ht="12.75">
      <c r="B363" s="101"/>
      <c r="C363" s="101"/>
      <c r="D363" s="101"/>
      <c r="E363" s="101"/>
      <c r="F363" s="101"/>
      <c r="G363" s="101"/>
      <c r="H363" s="101"/>
      <c r="I363" s="101"/>
      <c r="J363" s="101"/>
      <c r="K363" s="101"/>
      <c r="L363" s="101"/>
      <c r="M363" s="101"/>
      <c r="N363" s="101"/>
      <c r="O363" s="101"/>
    </row>
    <row r="364" spans="2:15" ht="12.75">
      <c r="B364" s="101"/>
      <c r="C364" s="101"/>
      <c r="D364" s="101"/>
      <c r="E364" s="101"/>
      <c r="F364" s="101"/>
      <c r="G364" s="101"/>
      <c r="H364" s="101"/>
      <c r="I364" s="101"/>
      <c r="J364" s="101"/>
      <c r="K364" s="101"/>
      <c r="L364" s="101"/>
      <c r="M364" s="101"/>
      <c r="N364" s="101"/>
      <c r="O364" s="101"/>
    </row>
    <row r="365" spans="2:15" ht="12.75">
      <c r="B365" s="101"/>
      <c r="C365" s="101"/>
      <c r="D365" s="101"/>
      <c r="E365" s="101"/>
      <c r="F365" s="101"/>
      <c r="G365" s="101"/>
      <c r="H365" s="101"/>
      <c r="I365" s="101"/>
      <c r="J365" s="101"/>
      <c r="K365" s="101"/>
      <c r="L365" s="101"/>
      <c r="M365" s="101"/>
      <c r="N365" s="101"/>
      <c r="O365" s="101"/>
    </row>
    <row r="366" spans="2:15" ht="12.75">
      <c r="B366" s="101"/>
      <c r="C366" s="101"/>
      <c r="D366" s="101"/>
      <c r="E366" s="101"/>
      <c r="F366" s="101"/>
      <c r="G366" s="101"/>
      <c r="H366" s="101"/>
      <c r="I366" s="101"/>
      <c r="J366" s="101"/>
      <c r="K366" s="101"/>
      <c r="L366" s="101"/>
      <c r="M366" s="101"/>
      <c r="N366" s="101"/>
      <c r="O366" s="101"/>
    </row>
    <row r="367" spans="2:15" ht="12.75">
      <c r="B367" s="101"/>
      <c r="C367" s="101"/>
      <c r="D367" s="101"/>
      <c r="E367" s="101"/>
      <c r="F367" s="101"/>
      <c r="G367" s="101"/>
      <c r="H367" s="101"/>
      <c r="I367" s="101"/>
      <c r="J367" s="101"/>
      <c r="K367" s="101"/>
      <c r="L367" s="101"/>
      <c r="M367" s="101"/>
      <c r="N367" s="101"/>
      <c r="O367" s="101"/>
    </row>
    <row r="368" spans="2:15" ht="12.75">
      <c r="B368" s="101"/>
      <c r="C368" s="101"/>
      <c r="D368" s="101"/>
      <c r="E368" s="101"/>
      <c r="F368" s="101"/>
      <c r="G368" s="101"/>
      <c r="H368" s="101"/>
      <c r="I368" s="101"/>
      <c r="J368" s="101"/>
      <c r="K368" s="101"/>
      <c r="L368" s="101"/>
      <c r="M368" s="101"/>
      <c r="N368" s="101"/>
      <c r="O368" s="101"/>
    </row>
    <row r="369" spans="2:15" ht="12.75">
      <c r="B369" s="101"/>
      <c r="C369" s="101"/>
      <c r="D369" s="101"/>
      <c r="E369" s="101"/>
      <c r="F369" s="101"/>
      <c r="G369" s="101"/>
      <c r="H369" s="101"/>
      <c r="I369" s="101"/>
      <c r="J369" s="101"/>
      <c r="K369" s="101"/>
      <c r="L369" s="101"/>
      <c r="M369" s="101"/>
      <c r="N369" s="101"/>
      <c r="O369" s="101"/>
    </row>
    <row r="370" spans="2:15" ht="12.75">
      <c r="B370" s="101"/>
      <c r="C370" s="101"/>
      <c r="D370" s="101"/>
      <c r="E370" s="101"/>
      <c r="F370" s="101"/>
      <c r="G370" s="101"/>
      <c r="H370" s="101"/>
      <c r="I370" s="101"/>
      <c r="J370" s="101"/>
      <c r="K370" s="101"/>
      <c r="L370" s="101"/>
      <c r="M370" s="101"/>
      <c r="N370" s="101"/>
      <c r="O370" s="101"/>
    </row>
    <row r="371" spans="2:15" ht="12.75">
      <c r="B371" s="101"/>
      <c r="C371" s="101"/>
      <c r="D371" s="101"/>
      <c r="E371" s="101"/>
      <c r="F371" s="101"/>
      <c r="G371" s="101"/>
      <c r="H371" s="101"/>
      <c r="I371" s="101"/>
      <c r="J371" s="101"/>
      <c r="K371" s="101"/>
      <c r="L371" s="101"/>
      <c r="M371" s="101"/>
      <c r="N371" s="101"/>
      <c r="O371" s="101"/>
    </row>
    <row r="372" spans="2:15" ht="12.75">
      <c r="B372" s="101"/>
      <c r="C372" s="101"/>
      <c r="D372" s="101"/>
      <c r="E372" s="101"/>
      <c r="F372" s="101"/>
      <c r="G372" s="101"/>
      <c r="H372" s="101"/>
      <c r="I372" s="101"/>
      <c r="J372" s="101"/>
      <c r="K372" s="101"/>
      <c r="L372" s="101"/>
      <c r="M372" s="101"/>
      <c r="N372" s="101"/>
      <c r="O372" s="101"/>
    </row>
    <row r="373" spans="2:15" ht="12.75">
      <c r="B373" s="101"/>
      <c r="C373" s="101"/>
      <c r="D373" s="101"/>
      <c r="E373" s="101"/>
      <c r="F373" s="101"/>
      <c r="G373" s="101"/>
      <c r="H373" s="101"/>
      <c r="I373" s="101"/>
      <c r="J373" s="101"/>
      <c r="K373" s="101"/>
      <c r="L373" s="101"/>
      <c r="M373" s="101"/>
      <c r="N373" s="101"/>
      <c r="O373" s="101"/>
    </row>
    <row r="374" spans="2:15" ht="12.75">
      <c r="B374" s="101"/>
      <c r="C374" s="101"/>
      <c r="D374" s="101"/>
      <c r="E374" s="101"/>
      <c r="F374" s="101"/>
      <c r="G374" s="101"/>
      <c r="H374" s="101"/>
      <c r="I374" s="101"/>
      <c r="J374" s="101"/>
      <c r="K374" s="101"/>
      <c r="L374" s="101"/>
      <c r="M374" s="101"/>
      <c r="N374" s="101"/>
      <c r="O374" s="101"/>
    </row>
    <row r="375" spans="2:15" ht="12.75">
      <c r="B375" s="101"/>
      <c r="C375" s="101"/>
      <c r="D375" s="101"/>
      <c r="E375" s="101"/>
      <c r="F375" s="101"/>
      <c r="G375" s="101"/>
      <c r="H375" s="101"/>
      <c r="I375" s="101"/>
      <c r="J375" s="101"/>
      <c r="K375" s="101"/>
      <c r="L375" s="101"/>
      <c r="M375" s="101"/>
      <c r="N375" s="101"/>
      <c r="O375" s="101"/>
    </row>
    <row r="376" spans="2:15" ht="12.75">
      <c r="B376" s="101"/>
      <c r="C376" s="101"/>
      <c r="D376" s="101"/>
      <c r="E376" s="101"/>
      <c r="F376" s="101"/>
      <c r="G376" s="101"/>
      <c r="H376" s="101"/>
      <c r="I376" s="101"/>
      <c r="J376" s="101"/>
      <c r="K376" s="101"/>
      <c r="L376" s="101"/>
      <c r="M376" s="101"/>
      <c r="N376" s="101"/>
      <c r="O376" s="101"/>
    </row>
    <row r="377" spans="2:15" ht="12.75">
      <c r="B377" s="101"/>
      <c r="C377" s="101"/>
      <c r="D377" s="101"/>
      <c r="E377" s="101"/>
      <c r="F377" s="101"/>
      <c r="G377" s="101"/>
      <c r="H377" s="101"/>
      <c r="I377" s="101"/>
      <c r="J377" s="101"/>
      <c r="K377" s="101"/>
      <c r="L377" s="101"/>
      <c r="M377" s="101"/>
      <c r="N377" s="101"/>
      <c r="O377" s="101"/>
    </row>
    <row r="378" spans="2:15" ht="12.75">
      <c r="B378" s="101"/>
      <c r="C378" s="101"/>
      <c r="D378" s="101"/>
      <c r="E378" s="101"/>
      <c r="F378" s="101"/>
      <c r="G378" s="101"/>
      <c r="H378" s="101"/>
      <c r="I378" s="101"/>
      <c r="J378" s="101"/>
      <c r="K378" s="101"/>
      <c r="L378" s="101"/>
      <c r="M378" s="101"/>
      <c r="N378" s="101"/>
      <c r="O378" s="101"/>
    </row>
    <row r="379" spans="2:15" ht="12.75">
      <c r="B379" s="101"/>
      <c r="C379" s="101"/>
      <c r="D379" s="101"/>
      <c r="E379" s="101"/>
      <c r="F379" s="101"/>
      <c r="G379" s="101"/>
      <c r="H379" s="101"/>
      <c r="I379" s="101"/>
      <c r="J379" s="101"/>
      <c r="K379" s="101"/>
      <c r="L379" s="101"/>
      <c r="M379" s="101"/>
      <c r="N379" s="101"/>
      <c r="O379" s="101"/>
    </row>
    <row r="380" spans="2:15" ht="12.75">
      <c r="B380" s="101"/>
      <c r="C380" s="101"/>
      <c r="D380" s="101"/>
      <c r="E380" s="101"/>
      <c r="F380" s="101"/>
      <c r="G380" s="101"/>
      <c r="H380" s="101"/>
      <c r="I380" s="101"/>
      <c r="J380" s="101"/>
      <c r="K380" s="101"/>
      <c r="L380" s="101"/>
      <c r="M380" s="101"/>
      <c r="N380" s="101"/>
      <c r="O380" s="101"/>
    </row>
    <row r="381" spans="2:15" ht="12.75">
      <c r="B381" s="101"/>
      <c r="C381" s="101"/>
      <c r="D381" s="101"/>
      <c r="E381" s="101"/>
      <c r="F381" s="101"/>
      <c r="G381" s="101"/>
      <c r="H381" s="101"/>
      <c r="I381" s="101"/>
      <c r="J381" s="101"/>
      <c r="K381" s="101"/>
      <c r="L381" s="101"/>
      <c r="M381" s="101"/>
      <c r="N381" s="101"/>
      <c r="O381" s="101"/>
    </row>
    <row r="382" spans="2:15" ht="12.75">
      <c r="B382" s="101"/>
      <c r="C382" s="101"/>
      <c r="D382" s="101"/>
      <c r="E382" s="101"/>
      <c r="F382" s="101"/>
      <c r="G382" s="101"/>
      <c r="H382" s="101"/>
      <c r="I382" s="101"/>
      <c r="J382" s="101"/>
      <c r="K382" s="101"/>
      <c r="L382" s="101"/>
      <c r="M382" s="101"/>
      <c r="N382" s="101"/>
      <c r="O382" s="101"/>
    </row>
    <row r="383" spans="2:15" ht="12.75">
      <c r="B383" s="101"/>
      <c r="C383" s="101"/>
      <c r="D383" s="101"/>
      <c r="E383" s="101"/>
      <c r="F383" s="101"/>
      <c r="G383" s="101"/>
      <c r="H383" s="101"/>
      <c r="I383" s="101"/>
      <c r="J383" s="101"/>
      <c r="K383" s="101"/>
      <c r="L383" s="101"/>
      <c r="M383" s="101"/>
      <c r="N383" s="101"/>
      <c r="O383" s="101"/>
    </row>
    <row r="384" spans="2:15" ht="12.75">
      <c r="B384" s="101"/>
      <c r="C384" s="101"/>
      <c r="D384" s="101"/>
      <c r="E384" s="101"/>
      <c r="F384" s="101"/>
      <c r="G384" s="101"/>
      <c r="H384" s="101"/>
      <c r="I384" s="101"/>
      <c r="J384" s="101"/>
      <c r="K384" s="101"/>
      <c r="L384" s="101"/>
      <c r="M384" s="101"/>
      <c r="N384" s="101"/>
      <c r="O384" s="101"/>
    </row>
    <row r="385" spans="2:15" ht="12.75">
      <c r="B385" s="101"/>
      <c r="C385" s="101"/>
      <c r="D385" s="101"/>
      <c r="E385" s="101"/>
      <c r="F385" s="101"/>
      <c r="G385" s="101"/>
      <c r="H385" s="101"/>
      <c r="I385" s="101"/>
      <c r="J385" s="101"/>
      <c r="K385" s="101"/>
      <c r="L385" s="101"/>
      <c r="M385" s="101"/>
      <c r="N385" s="101"/>
      <c r="O385" s="101"/>
    </row>
    <row r="386" spans="2:15" ht="12.75">
      <c r="B386" s="101"/>
      <c r="C386" s="101"/>
      <c r="D386" s="101"/>
      <c r="E386" s="101"/>
      <c r="F386" s="101"/>
      <c r="G386" s="101"/>
      <c r="H386" s="101"/>
      <c r="I386" s="101"/>
      <c r="J386" s="101"/>
      <c r="K386" s="101"/>
      <c r="L386" s="101"/>
      <c r="M386" s="101"/>
      <c r="N386" s="101"/>
      <c r="O386" s="101"/>
    </row>
    <row r="387" spans="2:15" ht="12.75">
      <c r="B387" s="101"/>
      <c r="C387" s="101"/>
      <c r="D387" s="101"/>
      <c r="E387" s="101"/>
      <c r="F387" s="101"/>
      <c r="G387" s="101"/>
      <c r="H387" s="101"/>
      <c r="I387" s="101"/>
      <c r="J387" s="101"/>
      <c r="K387" s="101"/>
      <c r="L387" s="101"/>
      <c r="M387" s="101"/>
      <c r="N387" s="101"/>
      <c r="O387" s="101"/>
    </row>
    <row r="388" spans="2:15" ht="12.75">
      <c r="B388" s="101"/>
      <c r="C388" s="101"/>
      <c r="D388" s="101"/>
      <c r="E388" s="101"/>
      <c r="F388" s="101"/>
      <c r="G388" s="101"/>
      <c r="H388" s="101"/>
      <c r="I388" s="101"/>
      <c r="J388" s="101"/>
      <c r="K388" s="101"/>
      <c r="L388" s="101"/>
      <c r="M388" s="101"/>
      <c r="N388" s="101"/>
      <c r="O388" s="101"/>
    </row>
    <row r="389" spans="2:15" ht="12.75">
      <c r="B389" s="101"/>
      <c r="C389" s="101"/>
      <c r="D389" s="101"/>
      <c r="E389" s="101"/>
      <c r="F389" s="101"/>
      <c r="G389" s="101"/>
      <c r="H389" s="101"/>
      <c r="I389" s="101"/>
      <c r="J389" s="101"/>
      <c r="K389" s="101"/>
      <c r="L389" s="101"/>
      <c r="M389" s="101"/>
      <c r="N389" s="101"/>
      <c r="O389" s="101"/>
    </row>
    <row r="390" spans="2:15" ht="12.75">
      <c r="B390" s="101"/>
      <c r="C390" s="101"/>
      <c r="D390" s="101"/>
      <c r="E390" s="101"/>
      <c r="F390" s="101"/>
      <c r="G390" s="101"/>
      <c r="H390" s="101"/>
      <c r="I390" s="101"/>
      <c r="J390" s="101"/>
      <c r="K390" s="101"/>
      <c r="L390" s="101"/>
      <c r="M390" s="101"/>
      <c r="N390" s="101"/>
      <c r="O390" s="101"/>
    </row>
    <row r="391" spans="2:15" ht="12.75">
      <c r="B391" s="101"/>
      <c r="C391" s="101"/>
      <c r="D391" s="101"/>
      <c r="E391" s="101"/>
      <c r="F391" s="101"/>
      <c r="G391" s="101"/>
      <c r="H391" s="101"/>
      <c r="I391" s="101"/>
      <c r="J391" s="101"/>
      <c r="K391" s="101"/>
      <c r="L391" s="101"/>
      <c r="M391" s="101"/>
      <c r="N391" s="101"/>
      <c r="O391" s="101"/>
    </row>
    <row r="392" spans="2:15" ht="12.75">
      <c r="B392" s="101"/>
      <c r="C392" s="101"/>
      <c r="D392" s="101"/>
      <c r="E392" s="101"/>
      <c r="F392" s="101"/>
      <c r="G392" s="101"/>
      <c r="H392" s="101"/>
      <c r="I392" s="101"/>
      <c r="J392" s="101"/>
      <c r="K392" s="101"/>
      <c r="L392" s="101"/>
      <c r="M392" s="101"/>
      <c r="N392" s="101"/>
      <c r="O392" s="101"/>
    </row>
    <row r="393" spans="2:15" ht="12.75">
      <c r="B393" s="101"/>
      <c r="C393" s="101"/>
      <c r="D393" s="101"/>
      <c r="E393" s="101"/>
      <c r="F393" s="101"/>
      <c r="G393" s="101"/>
      <c r="H393" s="101"/>
      <c r="I393" s="101"/>
      <c r="J393" s="101"/>
      <c r="K393" s="101"/>
      <c r="L393" s="101"/>
      <c r="M393" s="101"/>
      <c r="N393" s="101"/>
      <c r="O393" s="101"/>
    </row>
    <row r="394" spans="2:15" ht="12.75">
      <c r="B394" s="101"/>
      <c r="C394" s="101"/>
      <c r="D394" s="101"/>
      <c r="E394" s="101"/>
      <c r="F394" s="101"/>
      <c r="G394" s="101"/>
      <c r="H394" s="101"/>
      <c r="I394" s="101"/>
      <c r="J394" s="101"/>
      <c r="K394" s="101"/>
      <c r="L394" s="101"/>
      <c r="M394" s="101"/>
      <c r="N394" s="101"/>
      <c r="O394" s="101"/>
    </row>
    <row r="395" spans="2:15" ht="12.75">
      <c r="B395" s="101"/>
      <c r="C395" s="101"/>
      <c r="D395" s="101"/>
      <c r="E395" s="101"/>
      <c r="F395" s="101"/>
      <c r="G395" s="101"/>
      <c r="H395" s="101"/>
      <c r="I395" s="101"/>
      <c r="J395" s="101"/>
      <c r="K395" s="101"/>
      <c r="L395" s="101"/>
      <c r="M395" s="101"/>
      <c r="N395" s="101"/>
      <c r="O395" s="101"/>
    </row>
    <row r="396" spans="2:15" ht="12.75">
      <c r="B396" s="101"/>
      <c r="C396" s="101"/>
      <c r="D396" s="101"/>
      <c r="E396" s="101"/>
      <c r="F396" s="101"/>
      <c r="G396" s="101"/>
      <c r="H396" s="101"/>
      <c r="I396" s="101"/>
      <c r="J396" s="101"/>
      <c r="K396" s="101"/>
      <c r="L396" s="101"/>
      <c r="M396" s="101"/>
      <c r="N396" s="101"/>
      <c r="O396" s="101"/>
    </row>
    <row r="397" spans="2:15" ht="12.75">
      <c r="B397" s="101"/>
      <c r="C397" s="101"/>
      <c r="D397" s="101"/>
      <c r="E397" s="101"/>
      <c r="F397" s="101"/>
      <c r="G397" s="101"/>
      <c r="H397" s="101"/>
      <c r="I397" s="101"/>
      <c r="J397" s="101"/>
      <c r="K397" s="101"/>
      <c r="L397" s="101"/>
      <c r="M397" s="101"/>
      <c r="N397" s="101"/>
      <c r="O397" s="101"/>
    </row>
    <row r="398" spans="2:15" ht="12.75">
      <c r="B398" s="101"/>
      <c r="C398" s="101"/>
      <c r="D398" s="101"/>
      <c r="E398" s="101"/>
      <c r="F398" s="101"/>
      <c r="G398" s="101"/>
      <c r="H398" s="101"/>
      <c r="I398" s="101"/>
      <c r="J398" s="101"/>
      <c r="K398" s="101"/>
      <c r="L398" s="101"/>
      <c r="M398" s="101"/>
      <c r="N398" s="101"/>
      <c r="O398" s="101"/>
    </row>
    <row r="399" spans="2:15" ht="12.75">
      <c r="B399" s="101"/>
      <c r="C399" s="101"/>
      <c r="D399" s="101"/>
      <c r="E399" s="101"/>
      <c r="F399" s="101"/>
      <c r="G399" s="101"/>
      <c r="H399" s="101"/>
      <c r="I399" s="101"/>
      <c r="J399" s="101"/>
      <c r="K399" s="101"/>
      <c r="L399" s="101"/>
      <c r="M399" s="101"/>
      <c r="N399" s="101"/>
      <c r="O399" s="101"/>
    </row>
    <row r="400" spans="2:15" ht="12.75">
      <c r="B400" s="101"/>
      <c r="C400" s="101"/>
      <c r="D400" s="101"/>
      <c r="E400" s="101"/>
      <c r="F400" s="101"/>
      <c r="G400" s="101"/>
      <c r="H400" s="101"/>
      <c r="I400" s="101"/>
      <c r="J400" s="101"/>
      <c r="K400" s="101"/>
      <c r="L400" s="101"/>
      <c r="M400" s="101"/>
      <c r="N400" s="101"/>
      <c r="O400" s="101"/>
    </row>
    <row r="401" spans="2:15" ht="12.75">
      <c r="B401" s="101"/>
      <c r="C401" s="101"/>
      <c r="D401" s="101"/>
      <c r="E401" s="101"/>
      <c r="F401" s="101"/>
      <c r="G401" s="101"/>
      <c r="H401" s="101"/>
      <c r="I401" s="101"/>
      <c r="J401" s="101"/>
      <c r="K401" s="101"/>
      <c r="L401" s="101"/>
      <c r="M401" s="101"/>
      <c r="N401" s="101"/>
      <c r="O401" s="101"/>
    </row>
    <row r="402" spans="2:15" ht="12.75">
      <c r="B402" s="101"/>
      <c r="C402" s="101"/>
      <c r="D402" s="101"/>
      <c r="E402" s="101"/>
      <c r="F402" s="101"/>
      <c r="G402" s="101"/>
      <c r="H402" s="101"/>
      <c r="I402" s="101"/>
      <c r="J402" s="101"/>
      <c r="K402" s="101"/>
      <c r="L402" s="101"/>
      <c r="M402" s="101"/>
      <c r="N402" s="101"/>
      <c r="O402" s="101"/>
    </row>
    <row r="403" spans="2:15" ht="12.75">
      <c r="B403" s="101"/>
      <c r="C403" s="101"/>
      <c r="D403" s="101"/>
      <c r="E403" s="101"/>
      <c r="F403" s="101"/>
      <c r="G403" s="101"/>
      <c r="H403" s="101"/>
      <c r="I403" s="101"/>
      <c r="J403" s="101"/>
      <c r="K403" s="101"/>
      <c r="L403" s="101"/>
      <c r="M403" s="101"/>
      <c r="N403" s="101"/>
      <c r="O403" s="101"/>
    </row>
    <row r="404" spans="2:15" ht="12.75">
      <c r="B404" s="101"/>
      <c r="C404" s="101"/>
      <c r="D404" s="101"/>
      <c r="E404" s="101"/>
      <c r="F404" s="101"/>
      <c r="G404" s="101"/>
      <c r="H404" s="101"/>
      <c r="I404" s="101"/>
      <c r="J404" s="101"/>
      <c r="K404" s="101"/>
      <c r="L404" s="101"/>
      <c r="M404" s="101"/>
      <c r="N404" s="101"/>
      <c r="O404" s="101"/>
    </row>
    <row r="405" spans="2:15" ht="12.75">
      <c r="B405" s="101"/>
      <c r="C405" s="101"/>
      <c r="D405" s="101"/>
      <c r="E405" s="101"/>
      <c r="F405" s="101"/>
      <c r="G405" s="101"/>
      <c r="H405" s="101"/>
      <c r="I405" s="101"/>
      <c r="J405" s="101"/>
      <c r="K405" s="101"/>
      <c r="L405" s="101"/>
      <c r="M405" s="101"/>
      <c r="N405" s="101"/>
      <c r="O405" s="101"/>
    </row>
    <row r="406" spans="2:15" ht="12.75">
      <c r="B406" s="101"/>
      <c r="C406" s="101"/>
      <c r="D406" s="101"/>
      <c r="E406" s="101"/>
      <c r="F406" s="101"/>
      <c r="G406" s="101"/>
      <c r="H406" s="101"/>
      <c r="I406" s="101"/>
      <c r="J406" s="101"/>
      <c r="K406" s="101"/>
      <c r="L406" s="101"/>
      <c r="M406" s="101"/>
      <c r="N406" s="101"/>
      <c r="O406" s="101"/>
    </row>
    <row r="407" spans="2:15" ht="12.75">
      <c r="B407" s="101"/>
      <c r="C407" s="101"/>
      <c r="D407" s="101"/>
      <c r="E407" s="101"/>
      <c r="F407" s="101"/>
      <c r="G407" s="101"/>
      <c r="H407" s="101"/>
      <c r="I407" s="101"/>
      <c r="J407" s="101"/>
      <c r="K407" s="101"/>
      <c r="L407" s="101"/>
      <c r="M407" s="101"/>
      <c r="N407" s="101"/>
      <c r="O407" s="101"/>
    </row>
    <row r="408" spans="2:15" ht="12.75">
      <c r="B408" s="101"/>
      <c r="C408" s="101"/>
      <c r="D408" s="101"/>
      <c r="E408" s="101"/>
      <c r="F408" s="101"/>
      <c r="G408" s="101"/>
      <c r="H408" s="101"/>
      <c r="I408" s="101"/>
      <c r="J408" s="101"/>
      <c r="K408" s="101"/>
      <c r="L408" s="101"/>
      <c r="M408" s="101"/>
      <c r="N408" s="101"/>
      <c r="O408" s="101"/>
    </row>
    <row r="409" spans="2:15" ht="12.75">
      <c r="B409" s="101"/>
      <c r="C409" s="101"/>
      <c r="D409" s="101"/>
      <c r="E409" s="101"/>
      <c r="F409" s="101"/>
      <c r="G409" s="101"/>
      <c r="H409" s="101"/>
      <c r="I409" s="101"/>
      <c r="J409" s="101"/>
      <c r="K409" s="101"/>
      <c r="L409" s="101"/>
      <c r="M409" s="101"/>
      <c r="N409" s="101"/>
      <c r="O409" s="101"/>
    </row>
    <row r="410" spans="2:15" ht="12.75">
      <c r="B410" s="101"/>
      <c r="C410" s="101"/>
      <c r="D410" s="101"/>
      <c r="E410" s="101"/>
      <c r="F410" s="101"/>
      <c r="G410" s="101"/>
      <c r="H410" s="101"/>
      <c r="I410" s="101"/>
      <c r="J410" s="101"/>
      <c r="K410" s="101"/>
      <c r="L410" s="101"/>
      <c r="M410" s="101"/>
      <c r="N410" s="101"/>
      <c r="O410" s="101"/>
    </row>
    <row r="411" spans="2:15" ht="12.75">
      <c r="B411" s="101"/>
      <c r="C411" s="101"/>
      <c r="D411" s="101"/>
      <c r="E411" s="101"/>
      <c r="F411" s="101"/>
      <c r="G411" s="101"/>
      <c r="H411" s="101"/>
      <c r="I411" s="101"/>
      <c r="J411" s="101"/>
      <c r="K411" s="101"/>
      <c r="L411" s="101"/>
      <c r="M411" s="101"/>
      <c r="N411" s="101"/>
      <c r="O411" s="101"/>
    </row>
    <row r="412" spans="2:15" ht="12.75">
      <c r="B412" s="101"/>
      <c r="C412" s="101"/>
      <c r="D412" s="101"/>
      <c r="E412" s="101"/>
      <c r="F412" s="101"/>
      <c r="G412" s="101"/>
      <c r="H412" s="101"/>
      <c r="I412" s="101"/>
      <c r="J412" s="101"/>
      <c r="K412" s="101"/>
      <c r="L412" s="101"/>
      <c r="M412" s="101"/>
      <c r="N412" s="101"/>
      <c r="O412" s="101"/>
    </row>
    <row r="413" spans="2:15" ht="12.75">
      <c r="B413" s="101"/>
      <c r="C413" s="101"/>
      <c r="D413" s="101"/>
      <c r="E413" s="101"/>
      <c r="F413" s="101"/>
      <c r="G413" s="101"/>
      <c r="H413" s="101"/>
      <c r="I413" s="101"/>
      <c r="J413" s="101"/>
      <c r="K413" s="101"/>
      <c r="L413" s="101"/>
      <c r="M413" s="101"/>
      <c r="N413" s="101"/>
      <c r="O413" s="101"/>
    </row>
    <row r="414" spans="2:15" ht="12.75">
      <c r="B414" s="101"/>
      <c r="C414" s="101"/>
      <c r="D414" s="101"/>
      <c r="E414" s="101"/>
      <c r="F414" s="101"/>
      <c r="G414" s="101"/>
      <c r="H414" s="101"/>
      <c r="I414" s="101"/>
      <c r="J414" s="101"/>
      <c r="K414" s="101"/>
      <c r="L414" s="101"/>
      <c r="M414" s="101"/>
      <c r="N414" s="101"/>
      <c r="O414" s="101"/>
    </row>
    <row r="415" spans="2:15" ht="12.75">
      <c r="B415" s="101"/>
      <c r="C415" s="101"/>
      <c r="D415" s="101"/>
      <c r="E415" s="101"/>
      <c r="F415" s="101"/>
      <c r="G415" s="101"/>
      <c r="H415" s="101"/>
      <c r="I415" s="101"/>
      <c r="J415" s="101"/>
      <c r="K415" s="101"/>
      <c r="L415" s="101"/>
      <c r="M415" s="101"/>
      <c r="N415" s="101"/>
      <c r="O415" s="101"/>
    </row>
    <row r="416" spans="2:15" ht="12.75">
      <c r="B416" s="101"/>
      <c r="C416" s="101"/>
      <c r="D416" s="101"/>
      <c r="E416" s="101"/>
      <c r="F416" s="101"/>
      <c r="G416" s="101"/>
      <c r="H416" s="101"/>
      <c r="I416" s="101"/>
      <c r="J416" s="101"/>
      <c r="K416" s="101"/>
      <c r="L416" s="101"/>
      <c r="M416" s="101"/>
      <c r="N416" s="101"/>
      <c r="O416" s="101"/>
    </row>
    <row r="417" spans="2:15" ht="12.75">
      <c r="B417" s="101"/>
      <c r="C417" s="101"/>
      <c r="D417" s="101"/>
      <c r="E417" s="101"/>
      <c r="F417" s="101"/>
      <c r="G417" s="101"/>
      <c r="H417" s="101"/>
      <c r="I417" s="101"/>
      <c r="J417" s="101"/>
      <c r="K417" s="101"/>
      <c r="L417" s="101"/>
      <c r="M417" s="101"/>
      <c r="N417" s="101"/>
      <c r="O417" s="101"/>
    </row>
    <row r="418" spans="2:15" ht="12.75">
      <c r="B418" s="101"/>
      <c r="C418" s="101"/>
      <c r="D418" s="101"/>
      <c r="E418" s="101"/>
      <c r="F418" s="101"/>
      <c r="G418" s="101"/>
      <c r="H418" s="101"/>
      <c r="I418" s="101"/>
      <c r="J418" s="101"/>
      <c r="K418" s="101"/>
      <c r="L418" s="101"/>
      <c r="M418" s="101"/>
      <c r="N418" s="101"/>
      <c r="O418" s="101"/>
    </row>
    <row r="419" spans="2:15" ht="12.75">
      <c r="B419" s="101"/>
      <c r="C419" s="101"/>
      <c r="D419" s="101"/>
      <c r="E419" s="101"/>
      <c r="F419" s="101"/>
      <c r="G419" s="101"/>
      <c r="H419" s="101"/>
      <c r="I419" s="101"/>
      <c r="J419" s="101"/>
      <c r="K419" s="101"/>
      <c r="L419" s="101"/>
      <c r="M419" s="101"/>
      <c r="N419" s="101"/>
      <c r="O419" s="101"/>
    </row>
    <row r="420" spans="2:15" ht="12.75">
      <c r="B420" s="101"/>
      <c r="C420" s="101"/>
      <c r="D420" s="101"/>
      <c r="E420" s="101"/>
      <c r="F420" s="101"/>
      <c r="G420" s="101"/>
      <c r="H420" s="101"/>
      <c r="I420" s="101"/>
      <c r="J420" s="101"/>
      <c r="K420" s="101"/>
      <c r="L420" s="101"/>
      <c r="M420" s="101"/>
      <c r="N420" s="101"/>
      <c r="O420" s="101"/>
    </row>
    <row r="421" spans="2:15" ht="12.75">
      <c r="B421" s="101"/>
      <c r="C421" s="101"/>
      <c r="D421" s="101"/>
      <c r="E421" s="101"/>
      <c r="F421" s="101"/>
      <c r="G421" s="101"/>
      <c r="H421" s="101"/>
      <c r="I421" s="101"/>
      <c r="J421" s="101"/>
      <c r="K421" s="101"/>
      <c r="L421" s="101"/>
      <c r="M421" s="101"/>
      <c r="N421" s="101"/>
      <c r="O421" s="101"/>
    </row>
    <row r="422" spans="2:15" ht="12.75">
      <c r="B422" s="101"/>
      <c r="C422" s="101"/>
      <c r="D422" s="101"/>
      <c r="E422" s="101"/>
      <c r="F422" s="101"/>
      <c r="G422" s="101"/>
      <c r="H422" s="101"/>
      <c r="I422" s="101"/>
      <c r="J422" s="101"/>
      <c r="K422" s="101"/>
      <c r="L422" s="101"/>
      <c r="M422" s="101"/>
      <c r="N422" s="101"/>
      <c r="O422" s="101"/>
    </row>
    <row r="423" spans="2:15" ht="12.75">
      <c r="B423" s="101"/>
      <c r="C423" s="101"/>
      <c r="D423" s="101"/>
      <c r="E423" s="101"/>
      <c r="F423" s="101"/>
      <c r="G423" s="101"/>
      <c r="H423" s="101"/>
      <c r="I423" s="101"/>
      <c r="J423" s="101"/>
      <c r="K423" s="101"/>
      <c r="L423" s="101"/>
      <c r="M423" s="101"/>
      <c r="N423" s="101"/>
      <c r="O423" s="101"/>
    </row>
    <row r="424" spans="2:15" ht="12.75">
      <c r="B424" s="101"/>
      <c r="C424" s="101"/>
      <c r="D424" s="101"/>
      <c r="E424" s="101"/>
      <c r="F424" s="101"/>
      <c r="G424" s="101"/>
      <c r="H424" s="101"/>
      <c r="I424" s="101"/>
      <c r="J424" s="101"/>
      <c r="K424" s="101"/>
      <c r="L424" s="101"/>
      <c r="M424" s="101"/>
      <c r="N424" s="101"/>
      <c r="O424" s="101"/>
    </row>
    <row r="425" spans="2:15" ht="12.75">
      <c r="B425" s="101"/>
      <c r="C425" s="101"/>
      <c r="D425" s="101"/>
      <c r="E425" s="101"/>
      <c r="F425" s="101"/>
      <c r="G425" s="101"/>
      <c r="H425" s="101"/>
      <c r="I425" s="101"/>
      <c r="J425" s="101"/>
      <c r="K425" s="101"/>
      <c r="L425" s="101"/>
      <c r="M425" s="101"/>
      <c r="N425" s="101"/>
      <c r="O425" s="101"/>
    </row>
    <row r="426" spans="2:15" ht="12.75">
      <c r="B426" s="101"/>
      <c r="C426" s="101"/>
      <c r="D426" s="101"/>
      <c r="E426" s="101"/>
      <c r="F426" s="101"/>
      <c r="G426" s="101"/>
      <c r="H426" s="101"/>
      <c r="I426" s="101"/>
      <c r="J426" s="101"/>
      <c r="K426" s="101"/>
      <c r="L426" s="101"/>
      <c r="M426" s="101"/>
      <c r="N426" s="101"/>
      <c r="O426" s="101"/>
    </row>
    <row r="427" spans="2:15" ht="12.75">
      <c r="B427" s="101"/>
      <c r="C427" s="101"/>
      <c r="D427" s="101"/>
      <c r="E427" s="101"/>
      <c r="F427" s="101"/>
      <c r="G427" s="101"/>
      <c r="H427" s="101"/>
      <c r="I427" s="101"/>
      <c r="J427" s="101"/>
      <c r="K427" s="101"/>
      <c r="L427" s="101"/>
      <c r="M427" s="101"/>
      <c r="N427" s="101"/>
      <c r="O427" s="101"/>
    </row>
    <row r="428" spans="2:15" ht="12.75">
      <c r="B428" s="101"/>
      <c r="C428" s="101"/>
      <c r="D428" s="101"/>
      <c r="E428" s="101"/>
      <c r="F428" s="101"/>
      <c r="G428" s="101"/>
      <c r="H428" s="101"/>
      <c r="I428" s="101"/>
      <c r="J428" s="101"/>
      <c r="K428" s="101"/>
      <c r="L428" s="101"/>
      <c r="M428" s="101"/>
      <c r="N428" s="101"/>
      <c r="O428" s="101"/>
    </row>
    <row r="429" spans="2:15" ht="12.75">
      <c r="B429" s="101"/>
      <c r="C429" s="101"/>
      <c r="D429" s="101"/>
      <c r="E429" s="101"/>
      <c r="F429" s="101"/>
      <c r="G429" s="101"/>
      <c r="H429" s="101"/>
      <c r="I429" s="101"/>
      <c r="J429" s="101"/>
      <c r="K429" s="101"/>
      <c r="L429" s="101"/>
      <c r="M429" s="101"/>
      <c r="N429" s="101"/>
      <c r="O429" s="101"/>
    </row>
    <row r="430" spans="2:15" ht="12.75">
      <c r="B430" s="101"/>
      <c r="C430" s="101"/>
      <c r="D430" s="101"/>
      <c r="E430" s="101"/>
      <c r="F430" s="101"/>
      <c r="G430" s="101"/>
      <c r="H430" s="101"/>
      <c r="I430" s="101"/>
      <c r="J430" s="101"/>
      <c r="K430" s="101"/>
      <c r="L430" s="101"/>
      <c r="M430" s="101"/>
      <c r="N430" s="101"/>
      <c r="O430" s="101"/>
    </row>
    <row r="431" spans="2:15" ht="12.75">
      <c r="B431" s="101"/>
      <c r="C431" s="101"/>
      <c r="D431" s="101"/>
      <c r="E431" s="101"/>
      <c r="F431" s="101"/>
      <c r="G431" s="101"/>
      <c r="H431" s="101"/>
      <c r="I431" s="101"/>
      <c r="J431" s="101"/>
      <c r="K431" s="101"/>
      <c r="L431" s="101"/>
      <c r="M431" s="101"/>
      <c r="N431" s="101"/>
      <c r="O431" s="101"/>
    </row>
    <row r="432" spans="2:15" ht="12.75">
      <c r="B432" s="101"/>
      <c r="C432" s="101"/>
      <c r="D432" s="101"/>
      <c r="E432" s="101"/>
      <c r="F432" s="101"/>
      <c r="G432" s="101"/>
      <c r="H432" s="101"/>
      <c r="I432" s="101"/>
      <c r="J432" s="101"/>
      <c r="K432" s="101"/>
      <c r="L432" s="101"/>
      <c r="M432" s="101"/>
      <c r="N432" s="101"/>
      <c r="O432" s="101"/>
    </row>
    <row r="433" spans="2:15" ht="12.75">
      <c r="B433" s="101"/>
      <c r="C433" s="101"/>
      <c r="D433" s="101"/>
      <c r="E433" s="101"/>
      <c r="F433" s="101"/>
      <c r="G433" s="101"/>
      <c r="H433" s="101"/>
      <c r="I433" s="101"/>
      <c r="J433" s="101"/>
      <c r="K433" s="101"/>
      <c r="L433" s="101"/>
      <c r="M433" s="101"/>
      <c r="N433" s="101"/>
      <c r="O433" s="101"/>
    </row>
    <row r="434" spans="2:15" ht="12.75">
      <c r="B434" s="101"/>
      <c r="C434" s="101"/>
      <c r="D434" s="101"/>
      <c r="E434" s="101"/>
      <c r="F434" s="101"/>
      <c r="G434" s="101"/>
      <c r="H434" s="101"/>
      <c r="I434" s="101"/>
      <c r="J434" s="101"/>
      <c r="K434" s="101"/>
      <c r="L434" s="101"/>
      <c r="M434" s="101"/>
      <c r="N434" s="101"/>
      <c r="O434" s="101"/>
    </row>
    <row r="435" spans="2:15" ht="12.75">
      <c r="B435" s="101"/>
      <c r="C435" s="101"/>
      <c r="D435" s="101"/>
      <c r="E435" s="101"/>
      <c r="F435" s="101"/>
      <c r="G435" s="101"/>
      <c r="H435" s="101"/>
      <c r="I435" s="101"/>
      <c r="J435" s="101"/>
      <c r="K435" s="101"/>
      <c r="L435" s="101"/>
      <c r="M435" s="101"/>
      <c r="N435" s="101"/>
      <c r="O435" s="101"/>
    </row>
    <row r="436" spans="2:15" ht="12.75">
      <c r="B436" s="101"/>
      <c r="C436" s="101"/>
      <c r="D436" s="101"/>
      <c r="E436" s="101"/>
      <c r="F436" s="101"/>
      <c r="G436" s="101"/>
      <c r="H436" s="101"/>
      <c r="I436" s="101"/>
      <c r="J436" s="101"/>
      <c r="K436" s="101"/>
      <c r="L436" s="101"/>
      <c r="M436" s="101"/>
      <c r="N436" s="101"/>
      <c r="O436" s="101"/>
    </row>
    <row r="437" spans="2:15" ht="12.75">
      <c r="B437" s="101"/>
      <c r="C437" s="101"/>
      <c r="D437" s="101"/>
      <c r="E437" s="101"/>
      <c r="F437" s="101"/>
      <c r="G437" s="101"/>
      <c r="H437" s="101"/>
      <c r="I437" s="101"/>
      <c r="J437" s="101"/>
      <c r="K437" s="101"/>
      <c r="L437" s="101"/>
      <c r="M437" s="101"/>
      <c r="N437" s="101"/>
      <c r="O437" s="101"/>
    </row>
    <row r="438" spans="2:15" ht="12.75">
      <c r="B438" s="101"/>
      <c r="C438" s="101"/>
      <c r="D438" s="101"/>
      <c r="E438" s="101"/>
      <c r="F438" s="101"/>
      <c r="G438" s="101"/>
      <c r="H438" s="101"/>
      <c r="I438" s="101"/>
      <c r="J438" s="101"/>
      <c r="K438" s="101"/>
      <c r="L438" s="101"/>
      <c r="M438" s="101"/>
      <c r="N438" s="101"/>
      <c r="O438" s="101"/>
    </row>
    <row r="439" spans="2:15" ht="12.75">
      <c r="B439" s="101"/>
      <c r="C439" s="101"/>
      <c r="D439" s="101"/>
      <c r="E439" s="101"/>
      <c r="F439" s="101"/>
      <c r="G439" s="101"/>
      <c r="H439" s="101"/>
      <c r="I439" s="101"/>
      <c r="J439" s="101"/>
      <c r="K439" s="101"/>
      <c r="L439" s="101"/>
      <c r="M439" s="101"/>
      <c r="N439" s="101"/>
      <c r="O439" s="101"/>
    </row>
    <row r="440" spans="2:15" ht="12.75">
      <c r="B440" s="101"/>
      <c r="C440" s="101"/>
      <c r="D440" s="101"/>
      <c r="E440" s="101"/>
      <c r="F440" s="101"/>
      <c r="G440" s="101"/>
      <c r="H440" s="101"/>
      <c r="I440" s="101"/>
      <c r="J440" s="101"/>
      <c r="K440" s="101"/>
      <c r="L440" s="101"/>
      <c r="M440" s="101"/>
      <c r="N440" s="101"/>
      <c r="O440" s="101"/>
    </row>
    <row r="441" spans="2:15" ht="12.75">
      <c r="B441" s="101"/>
      <c r="C441" s="101"/>
      <c r="D441" s="101"/>
      <c r="E441" s="101"/>
      <c r="F441" s="101"/>
      <c r="G441" s="101"/>
      <c r="H441" s="101"/>
      <c r="I441" s="101"/>
      <c r="J441" s="101"/>
      <c r="K441" s="101"/>
      <c r="L441" s="101"/>
      <c r="M441" s="101"/>
      <c r="N441" s="101"/>
      <c r="O441" s="101"/>
    </row>
    <row r="442" spans="2:15" ht="12.75">
      <c r="B442" s="101"/>
      <c r="C442" s="101"/>
      <c r="D442" s="101"/>
      <c r="E442" s="101"/>
      <c r="F442" s="101"/>
      <c r="G442" s="101"/>
      <c r="H442" s="101"/>
      <c r="I442" s="101"/>
      <c r="J442" s="101"/>
      <c r="K442" s="101"/>
      <c r="L442" s="101"/>
      <c r="M442" s="101"/>
      <c r="N442" s="101"/>
      <c r="O442" s="101"/>
    </row>
    <row r="443" spans="2:15" ht="12.75">
      <c r="B443" s="101"/>
      <c r="C443" s="101"/>
      <c r="D443" s="101"/>
      <c r="E443" s="101"/>
      <c r="F443" s="101"/>
      <c r="G443" s="101"/>
      <c r="H443" s="101"/>
      <c r="I443" s="101"/>
      <c r="J443" s="101"/>
      <c r="K443" s="101"/>
      <c r="L443" s="101"/>
      <c r="M443" s="101"/>
      <c r="N443" s="101"/>
      <c r="O443" s="101"/>
    </row>
    <row r="444" spans="2:15" ht="12.75">
      <c r="B444" s="101"/>
      <c r="C444" s="101"/>
      <c r="D444" s="101"/>
      <c r="E444" s="101"/>
      <c r="F444" s="101"/>
      <c r="G444" s="101"/>
      <c r="H444" s="101"/>
      <c r="I444" s="101"/>
      <c r="J444" s="101"/>
      <c r="K444" s="101"/>
      <c r="L444" s="101"/>
      <c r="M444" s="101"/>
      <c r="N444" s="101"/>
      <c r="O444" s="101"/>
    </row>
    <row r="445" spans="2:15" ht="12.75">
      <c r="B445" s="101"/>
      <c r="C445" s="101"/>
      <c r="D445" s="101"/>
      <c r="E445" s="101"/>
      <c r="F445" s="101"/>
      <c r="G445" s="101"/>
      <c r="H445" s="101"/>
      <c r="I445" s="101"/>
      <c r="J445" s="101"/>
      <c r="K445" s="101"/>
      <c r="L445" s="101"/>
      <c r="M445" s="101"/>
      <c r="N445" s="101"/>
      <c r="O445" s="101"/>
    </row>
    <row r="446" spans="2:15" ht="12.75">
      <c r="B446" s="101"/>
      <c r="C446" s="101"/>
      <c r="D446" s="101"/>
      <c r="E446" s="101"/>
      <c r="F446" s="101"/>
      <c r="G446" s="101"/>
      <c r="H446" s="101"/>
      <c r="I446" s="101"/>
      <c r="J446" s="101"/>
      <c r="K446" s="101"/>
      <c r="L446" s="101"/>
      <c r="M446" s="101"/>
      <c r="N446" s="101"/>
      <c r="O446" s="101"/>
    </row>
    <row r="447" spans="2:15" ht="12.75">
      <c r="B447" s="101"/>
      <c r="C447" s="101"/>
      <c r="D447" s="101"/>
      <c r="E447" s="101"/>
      <c r="F447" s="101"/>
      <c r="G447" s="101"/>
      <c r="H447" s="101"/>
      <c r="I447" s="101"/>
      <c r="J447" s="101"/>
      <c r="K447" s="101"/>
      <c r="L447" s="101"/>
      <c r="M447" s="101"/>
      <c r="N447" s="101"/>
      <c r="O447" s="101"/>
    </row>
    <row r="448" spans="2:15" ht="12.75">
      <c r="B448" s="101"/>
      <c r="C448" s="101"/>
      <c r="D448" s="101"/>
      <c r="E448" s="101"/>
      <c r="F448" s="101"/>
      <c r="G448" s="101"/>
      <c r="H448" s="101"/>
      <c r="I448" s="101"/>
      <c r="J448" s="101"/>
      <c r="K448" s="101"/>
      <c r="L448" s="101"/>
      <c r="M448" s="101"/>
      <c r="N448" s="101"/>
      <c r="O448" s="101"/>
    </row>
    <row r="449" spans="2:15" ht="12.75">
      <c r="B449" s="101"/>
      <c r="C449" s="101"/>
      <c r="D449" s="101"/>
      <c r="E449" s="101"/>
      <c r="F449" s="101"/>
      <c r="G449" s="101"/>
      <c r="H449" s="101"/>
      <c r="I449" s="101"/>
      <c r="J449" s="101"/>
      <c r="K449" s="101"/>
      <c r="L449" s="101"/>
      <c r="M449" s="101"/>
      <c r="N449" s="101"/>
      <c r="O449" s="101"/>
    </row>
    <row r="450" spans="2:15" ht="12.75">
      <c r="B450" s="101"/>
      <c r="C450" s="101"/>
      <c r="D450" s="101"/>
      <c r="E450" s="101"/>
      <c r="F450" s="101"/>
      <c r="G450" s="101"/>
      <c r="H450" s="101"/>
      <c r="I450" s="101"/>
      <c r="J450" s="101"/>
      <c r="K450" s="101"/>
      <c r="L450" s="101"/>
      <c r="M450" s="101"/>
      <c r="N450" s="101"/>
      <c r="O450" s="101"/>
    </row>
    <row r="451" spans="2:15" ht="12.75">
      <c r="B451" s="101"/>
      <c r="C451" s="101"/>
      <c r="D451" s="101"/>
      <c r="E451" s="101"/>
      <c r="F451" s="101"/>
      <c r="G451" s="101"/>
      <c r="H451" s="101"/>
      <c r="I451" s="101"/>
      <c r="J451" s="101"/>
      <c r="K451" s="101"/>
      <c r="L451" s="101"/>
      <c r="M451" s="101"/>
      <c r="N451" s="101"/>
      <c r="O451" s="101"/>
    </row>
    <row r="452" spans="2:15" ht="12.75">
      <c r="B452" s="101"/>
      <c r="C452" s="101"/>
      <c r="D452" s="101"/>
      <c r="E452" s="101"/>
      <c r="F452" s="101"/>
      <c r="G452" s="101"/>
      <c r="H452" s="101"/>
      <c r="I452" s="101"/>
      <c r="J452" s="101"/>
      <c r="K452" s="101"/>
      <c r="L452" s="101"/>
      <c r="M452" s="101"/>
      <c r="N452" s="101"/>
      <c r="O452" s="101"/>
    </row>
    <row r="453" spans="2:15" ht="12.75">
      <c r="B453" s="101"/>
      <c r="C453" s="101"/>
      <c r="D453" s="101"/>
      <c r="E453" s="101"/>
      <c r="F453" s="101"/>
      <c r="G453" s="101"/>
      <c r="H453" s="101"/>
      <c r="I453" s="101"/>
      <c r="J453" s="101"/>
      <c r="K453" s="101"/>
      <c r="L453" s="101"/>
      <c r="M453" s="101"/>
      <c r="N453" s="101"/>
      <c r="O453" s="101"/>
    </row>
    <row r="454" spans="2:15" ht="12.75">
      <c r="B454" s="101"/>
      <c r="C454" s="101"/>
      <c r="D454" s="101"/>
      <c r="E454" s="101"/>
      <c r="F454" s="101"/>
      <c r="G454" s="101"/>
      <c r="H454" s="101"/>
      <c r="I454" s="101"/>
      <c r="J454" s="101"/>
      <c r="K454" s="101"/>
      <c r="L454" s="101"/>
      <c r="M454" s="101"/>
      <c r="N454" s="101"/>
      <c r="O454" s="101"/>
    </row>
    <row r="455" spans="2:15" ht="12.75">
      <c r="B455" s="101"/>
      <c r="C455" s="101"/>
      <c r="D455" s="101"/>
      <c r="E455" s="101"/>
      <c r="F455" s="101"/>
      <c r="G455" s="101"/>
      <c r="H455" s="101"/>
      <c r="I455" s="101"/>
      <c r="J455" s="101"/>
      <c r="K455" s="101"/>
      <c r="L455" s="101"/>
      <c r="M455" s="101"/>
      <c r="N455" s="101"/>
      <c r="O455" s="101"/>
    </row>
    <row r="456" spans="2:15" ht="12.75">
      <c r="B456" s="101"/>
      <c r="C456" s="101"/>
      <c r="D456" s="101"/>
      <c r="E456" s="101"/>
      <c r="F456" s="101"/>
      <c r="G456" s="101"/>
      <c r="H456" s="101"/>
      <c r="I456" s="101"/>
      <c r="J456" s="101"/>
      <c r="K456" s="101"/>
      <c r="L456" s="101"/>
      <c r="M456" s="101"/>
      <c r="N456" s="101"/>
      <c r="O456" s="101"/>
    </row>
    <row r="457" spans="2:15" ht="12.75">
      <c r="B457" s="101"/>
      <c r="C457" s="101"/>
      <c r="D457" s="101"/>
      <c r="E457" s="101"/>
      <c r="F457" s="101"/>
      <c r="G457" s="101"/>
      <c r="H457" s="101"/>
      <c r="I457" s="101"/>
      <c r="J457" s="101"/>
      <c r="K457" s="101"/>
      <c r="L457" s="101"/>
      <c r="M457" s="101"/>
      <c r="N457" s="101"/>
      <c r="O457" s="101"/>
    </row>
    <row r="458" spans="2:15" ht="12.75">
      <c r="B458" s="101"/>
      <c r="C458" s="101"/>
      <c r="D458" s="101"/>
      <c r="E458" s="101"/>
      <c r="F458" s="101"/>
      <c r="G458" s="101"/>
      <c r="H458" s="101"/>
      <c r="I458" s="101"/>
      <c r="J458" s="101"/>
      <c r="K458" s="101"/>
      <c r="L458" s="101"/>
      <c r="M458" s="101"/>
      <c r="N458" s="101"/>
      <c r="O458" s="101"/>
    </row>
    <row r="459" spans="2:15" ht="12.75">
      <c r="B459" s="101"/>
      <c r="C459" s="101"/>
      <c r="D459" s="101"/>
      <c r="E459" s="101"/>
      <c r="F459" s="101"/>
      <c r="G459" s="101"/>
      <c r="H459" s="101"/>
      <c r="I459" s="101"/>
      <c r="J459" s="101"/>
      <c r="K459" s="101"/>
      <c r="L459" s="101"/>
      <c r="M459" s="101"/>
      <c r="N459" s="101"/>
      <c r="O459" s="101"/>
    </row>
    <row r="460" spans="2:15" ht="12.75">
      <c r="B460" s="101"/>
      <c r="C460" s="101"/>
      <c r="D460" s="101"/>
      <c r="E460" s="101"/>
      <c r="F460" s="101"/>
      <c r="G460" s="101"/>
      <c r="H460" s="101"/>
      <c r="I460" s="101"/>
      <c r="J460" s="101"/>
      <c r="K460" s="101"/>
      <c r="L460" s="101"/>
      <c r="M460" s="101"/>
      <c r="N460" s="101"/>
      <c r="O460" s="101"/>
    </row>
    <row r="461" spans="2:15" ht="12.75">
      <c r="B461" s="101"/>
      <c r="C461" s="101"/>
      <c r="D461" s="101"/>
      <c r="E461" s="101"/>
      <c r="F461" s="101"/>
      <c r="G461" s="101"/>
      <c r="H461" s="101"/>
      <c r="I461" s="101"/>
      <c r="J461" s="101"/>
      <c r="K461" s="101"/>
      <c r="L461" s="101"/>
      <c r="M461" s="101"/>
      <c r="N461" s="101"/>
      <c r="O461" s="101"/>
    </row>
    <row r="462" spans="2:15" ht="12.75">
      <c r="B462" s="101"/>
      <c r="C462" s="101"/>
      <c r="D462" s="101"/>
      <c r="E462" s="101"/>
      <c r="F462" s="101"/>
      <c r="G462" s="101"/>
      <c r="H462" s="101"/>
      <c r="I462" s="101"/>
      <c r="J462" s="101"/>
      <c r="K462" s="101"/>
      <c r="L462" s="101"/>
      <c r="M462" s="101"/>
      <c r="N462" s="101"/>
      <c r="O462" s="101"/>
    </row>
    <row r="463" spans="2:15" ht="12.75">
      <c r="B463" s="101"/>
      <c r="C463" s="101"/>
      <c r="D463" s="101"/>
      <c r="E463" s="101"/>
      <c r="F463" s="101"/>
      <c r="G463" s="101"/>
      <c r="H463" s="101"/>
      <c r="I463" s="101"/>
      <c r="J463" s="101"/>
      <c r="K463" s="101"/>
      <c r="L463" s="101"/>
      <c r="M463" s="101"/>
      <c r="N463" s="101"/>
      <c r="O463" s="101"/>
    </row>
    <row r="464" spans="2:15" ht="12.75">
      <c r="B464" s="101"/>
      <c r="C464" s="101"/>
      <c r="D464" s="101"/>
      <c r="E464" s="101"/>
      <c r="F464" s="101"/>
      <c r="G464" s="101"/>
      <c r="H464" s="101"/>
      <c r="I464" s="101"/>
      <c r="J464" s="101"/>
      <c r="K464" s="101"/>
      <c r="L464" s="101"/>
      <c r="M464" s="101"/>
      <c r="N464" s="101"/>
      <c r="O464" s="101"/>
    </row>
    <row r="465" spans="2:15" ht="12.75">
      <c r="B465" s="101"/>
      <c r="C465" s="101"/>
      <c r="D465" s="101"/>
      <c r="E465" s="101"/>
      <c r="F465" s="101"/>
      <c r="G465" s="101"/>
      <c r="H465" s="101"/>
      <c r="I465" s="101"/>
      <c r="J465" s="101"/>
      <c r="K465" s="101"/>
      <c r="L465" s="101"/>
      <c r="M465" s="101"/>
      <c r="N465" s="101"/>
      <c r="O465" s="101"/>
    </row>
    <row r="466" spans="2:15" ht="12.75">
      <c r="B466" s="101"/>
      <c r="C466" s="101"/>
      <c r="D466" s="101"/>
      <c r="E466" s="101"/>
      <c r="F466" s="101"/>
      <c r="G466" s="101"/>
      <c r="H466" s="101"/>
      <c r="I466" s="101"/>
      <c r="J466" s="101"/>
      <c r="K466" s="101"/>
      <c r="L466" s="101"/>
      <c r="M466" s="101"/>
      <c r="N466" s="101"/>
      <c r="O466" s="101"/>
    </row>
    <row r="467" spans="2:15" ht="12.75">
      <c r="B467" s="101"/>
      <c r="C467" s="101"/>
      <c r="D467" s="101"/>
      <c r="E467" s="101"/>
      <c r="F467" s="101"/>
      <c r="G467" s="101"/>
      <c r="H467" s="101"/>
      <c r="I467" s="101"/>
      <c r="J467" s="101"/>
      <c r="K467" s="101"/>
      <c r="L467" s="101"/>
      <c r="M467" s="101"/>
      <c r="N467" s="101"/>
      <c r="O467" s="101"/>
    </row>
    <row r="468" spans="2:15" ht="12.75">
      <c r="B468" s="101"/>
      <c r="C468" s="101"/>
      <c r="D468" s="101"/>
      <c r="E468" s="101"/>
      <c r="F468" s="101"/>
      <c r="G468" s="101"/>
      <c r="H468" s="101"/>
      <c r="I468" s="101"/>
      <c r="J468" s="101"/>
      <c r="K468" s="101"/>
      <c r="L468" s="101"/>
      <c r="M468" s="101"/>
      <c r="N468" s="101"/>
      <c r="O468" s="101"/>
    </row>
    <row r="469" spans="2:15" ht="12.75">
      <c r="B469" s="101"/>
      <c r="C469" s="101"/>
      <c r="D469" s="101"/>
      <c r="E469" s="101"/>
      <c r="F469" s="101"/>
      <c r="G469" s="101"/>
      <c r="H469" s="101"/>
      <c r="I469" s="101"/>
      <c r="J469" s="101"/>
      <c r="K469" s="101"/>
      <c r="L469" s="101"/>
      <c r="M469" s="101"/>
      <c r="N469" s="101"/>
      <c r="O469" s="101"/>
    </row>
    <row r="470" spans="2:15" ht="12.75">
      <c r="B470" s="101"/>
      <c r="C470" s="101"/>
      <c r="D470" s="101"/>
      <c r="E470" s="101"/>
      <c r="F470" s="101"/>
      <c r="G470" s="101"/>
      <c r="H470" s="101"/>
      <c r="I470" s="101"/>
      <c r="J470" s="101"/>
      <c r="K470" s="101"/>
      <c r="L470" s="101"/>
      <c r="M470" s="101"/>
      <c r="N470" s="101"/>
      <c r="O470" s="101"/>
    </row>
    <row r="471" spans="2:15" ht="12.75">
      <c r="B471" s="101"/>
      <c r="C471" s="101"/>
      <c r="D471" s="101"/>
      <c r="E471" s="101"/>
      <c r="F471" s="101"/>
      <c r="G471" s="101"/>
      <c r="H471" s="101"/>
      <c r="I471" s="101"/>
      <c r="J471" s="101"/>
      <c r="K471" s="101"/>
      <c r="L471" s="101"/>
      <c r="M471" s="101"/>
      <c r="N471" s="101"/>
      <c r="O471" s="101"/>
    </row>
    <row r="472" spans="2:15" ht="12.75">
      <c r="B472" s="101"/>
      <c r="C472" s="101"/>
      <c r="D472" s="101"/>
      <c r="E472" s="101"/>
      <c r="F472" s="101"/>
      <c r="G472" s="101"/>
      <c r="H472" s="101"/>
      <c r="I472" s="101"/>
      <c r="J472" s="101"/>
      <c r="K472" s="101"/>
      <c r="L472" s="101"/>
      <c r="M472" s="101"/>
      <c r="N472" s="101"/>
      <c r="O472" s="101"/>
    </row>
    <row r="473" spans="2:15" ht="12.75">
      <c r="B473" s="101"/>
      <c r="C473" s="101"/>
      <c r="D473" s="101"/>
      <c r="E473" s="101"/>
      <c r="F473" s="101"/>
      <c r="G473" s="101"/>
      <c r="H473" s="101"/>
      <c r="I473" s="101"/>
      <c r="J473" s="101"/>
      <c r="K473" s="101"/>
      <c r="L473" s="101"/>
      <c r="M473" s="101"/>
      <c r="N473" s="101"/>
      <c r="O473" s="101"/>
    </row>
    <row r="474" spans="2:15" ht="12.75">
      <c r="B474" s="101"/>
      <c r="C474" s="101"/>
      <c r="D474" s="101"/>
      <c r="E474" s="101"/>
      <c r="F474" s="101"/>
      <c r="G474" s="101"/>
      <c r="H474" s="101"/>
      <c r="I474" s="101"/>
      <c r="J474" s="101"/>
      <c r="K474" s="101"/>
      <c r="L474" s="101"/>
      <c r="M474" s="101"/>
      <c r="N474" s="101"/>
      <c r="O474" s="101"/>
    </row>
    <row r="475" spans="2:15" ht="12.75">
      <c r="B475" s="101"/>
      <c r="C475" s="101"/>
      <c r="D475" s="101"/>
      <c r="E475" s="101"/>
      <c r="F475" s="101"/>
      <c r="G475" s="101"/>
      <c r="H475" s="101"/>
      <c r="I475" s="101"/>
      <c r="J475" s="101"/>
      <c r="K475" s="101"/>
      <c r="L475" s="101"/>
      <c r="M475" s="101"/>
      <c r="N475" s="101"/>
      <c r="O475" s="101"/>
    </row>
    <row r="476" spans="2:15" ht="12.75">
      <c r="B476" s="101"/>
      <c r="C476" s="101"/>
      <c r="D476" s="101"/>
      <c r="E476" s="101"/>
      <c r="F476" s="101"/>
      <c r="G476" s="101"/>
      <c r="H476" s="101"/>
      <c r="I476" s="101"/>
      <c r="J476" s="101"/>
      <c r="K476" s="101"/>
      <c r="L476" s="101"/>
      <c r="M476" s="101"/>
      <c r="N476" s="101"/>
      <c r="O476" s="101"/>
    </row>
    <row r="477" spans="2:15" ht="12.75">
      <c r="B477" s="101"/>
      <c r="C477" s="101"/>
      <c r="D477" s="101"/>
      <c r="E477" s="101"/>
      <c r="F477" s="101"/>
      <c r="G477" s="101"/>
      <c r="H477" s="101"/>
      <c r="I477" s="101"/>
      <c r="J477" s="101"/>
      <c r="K477" s="101"/>
      <c r="L477" s="101"/>
      <c r="M477" s="101"/>
      <c r="N477" s="101"/>
      <c r="O477" s="101"/>
    </row>
    <row r="478" spans="2:15" ht="12.75">
      <c r="B478" s="101"/>
      <c r="C478" s="101"/>
      <c r="D478" s="101"/>
      <c r="E478" s="101"/>
      <c r="F478" s="101"/>
      <c r="G478" s="101"/>
      <c r="H478" s="101"/>
      <c r="I478" s="101"/>
      <c r="J478" s="101"/>
      <c r="K478" s="101"/>
      <c r="L478" s="101"/>
      <c r="M478" s="101"/>
      <c r="N478" s="101"/>
      <c r="O478" s="101"/>
    </row>
    <row r="479" spans="2:15" ht="12.75">
      <c r="B479" s="101"/>
      <c r="C479" s="101"/>
      <c r="D479" s="101"/>
      <c r="E479" s="101"/>
      <c r="F479" s="101"/>
      <c r="G479" s="101"/>
      <c r="H479" s="101"/>
      <c r="I479" s="101"/>
      <c r="J479" s="101"/>
      <c r="K479" s="101"/>
      <c r="L479" s="101"/>
      <c r="M479" s="101"/>
      <c r="N479" s="101"/>
      <c r="O479" s="101"/>
    </row>
    <row r="480" spans="2:15" ht="12.75">
      <c r="B480" s="101"/>
      <c r="C480" s="101"/>
      <c r="D480" s="101"/>
      <c r="E480" s="101"/>
      <c r="F480" s="101"/>
      <c r="G480" s="101"/>
      <c r="H480" s="101"/>
      <c r="I480" s="101"/>
      <c r="J480" s="101"/>
      <c r="K480" s="101"/>
      <c r="L480" s="101"/>
      <c r="M480" s="101"/>
      <c r="N480" s="101"/>
      <c r="O480" s="101"/>
    </row>
    <row r="481" spans="2:15" ht="12.75">
      <c r="B481" s="101"/>
      <c r="C481" s="101"/>
      <c r="D481" s="101"/>
      <c r="E481" s="101"/>
      <c r="F481" s="101"/>
      <c r="G481" s="101"/>
      <c r="H481" s="101"/>
      <c r="I481" s="101"/>
      <c r="J481" s="101"/>
      <c r="K481" s="101"/>
      <c r="L481" s="101"/>
      <c r="M481" s="101"/>
      <c r="N481" s="101"/>
      <c r="O481" s="101"/>
    </row>
    <row r="482" spans="2:15" ht="12.75">
      <c r="B482" s="101"/>
      <c r="C482" s="101"/>
      <c r="D482" s="101"/>
      <c r="E482" s="101"/>
      <c r="F482" s="101"/>
      <c r="G482" s="101"/>
      <c r="H482" s="101"/>
      <c r="I482" s="101"/>
      <c r="J482" s="101"/>
      <c r="K482" s="101"/>
      <c r="L482" s="101"/>
      <c r="M482" s="101"/>
      <c r="N482" s="101"/>
      <c r="O482" s="101"/>
    </row>
    <row r="483" spans="2:15" ht="12.75">
      <c r="B483" s="101"/>
      <c r="C483" s="101"/>
      <c r="D483" s="101"/>
      <c r="E483" s="101"/>
      <c r="F483" s="101"/>
      <c r="G483" s="101"/>
      <c r="H483" s="101"/>
      <c r="I483" s="101"/>
      <c r="J483" s="101"/>
      <c r="K483" s="101"/>
      <c r="L483" s="101"/>
      <c r="M483" s="101"/>
      <c r="N483" s="101"/>
      <c r="O483" s="101"/>
    </row>
    <row r="484" spans="2:15" ht="12.75">
      <c r="B484" s="101"/>
      <c r="C484" s="101"/>
      <c r="D484" s="101"/>
      <c r="E484" s="101"/>
      <c r="F484" s="101"/>
      <c r="G484" s="101"/>
      <c r="H484" s="101"/>
      <c r="I484" s="101"/>
      <c r="J484" s="101"/>
      <c r="K484" s="101"/>
      <c r="L484" s="101"/>
      <c r="M484" s="101"/>
      <c r="N484" s="101"/>
      <c r="O484" s="101"/>
    </row>
    <row r="485" spans="2:15" ht="12.75">
      <c r="B485" s="101"/>
      <c r="C485" s="101"/>
      <c r="D485" s="101"/>
      <c r="E485" s="101"/>
      <c r="F485" s="101"/>
      <c r="G485" s="101"/>
      <c r="H485" s="101"/>
      <c r="I485" s="101"/>
      <c r="J485" s="101"/>
      <c r="K485" s="101"/>
      <c r="L485" s="101"/>
      <c r="M485" s="101"/>
      <c r="N485" s="101"/>
      <c r="O485" s="101"/>
    </row>
    <row r="486" spans="2:15" ht="12.75">
      <c r="B486" s="101"/>
      <c r="C486" s="101"/>
      <c r="D486" s="101"/>
      <c r="E486" s="101"/>
      <c r="F486" s="101"/>
      <c r="G486" s="101"/>
      <c r="H486" s="101"/>
      <c r="I486" s="101"/>
      <c r="J486" s="101"/>
      <c r="K486" s="101"/>
      <c r="L486" s="101"/>
      <c r="M486" s="101"/>
      <c r="N486" s="101"/>
      <c r="O486" s="101"/>
    </row>
    <row r="487" spans="2:15" ht="12.75">
      <c r="B487" s="101"/>
      <c r="C487" s="101"/>
      <c r="D487" s="101"/>
      <c r="E487" s="101"/>
      <c r="F487" s="101"/>
      <c r="G487" s="101"/>
      <c r="H487" s="101"/>
      <c r="I487" s="101"/>
      <c r="J487" s="101"/>
      <c r="K487" s="101"/>
      <c r="L487" s="101"/>
      <c r="M487" s="101"/>
      <c r="N487" s="101"/>
      <c r="O487" s="101"/>
    </row>
    <row r="488" spans="2:15" ht="12.75">
      <c r="B488" s="101"/>
      <c r="C488" s="101"/>
      <c r="D488" s="101"/>
      <c r="E488" s="101"/>
      <c r="F488" s="101"/>
      <c r="G488" s="101"/>
      <c r="H488" s="101"/>
      <c r="I488" s="101"/>
      <c r="J488" s="101"/>
      <c r="K488" s="101"/>
      <c r="L488" s="101"/>
      <c r="M488" s="101"/>
      <c r="N488" s="101"/>
      <c r="O488" s="101"/>
    </row>
    <row r="489" spans="2:15" ht="12.75">
      <c r="B489" s="101"/>
      <c r="C489" s="101"/>
      <c r="D489" s="101"/>
      <c r="E489" s="101"/>
      <c r="F489" s="101"/>
      <c r="G489" s="101"/>
      <c r="H489" s="101"/>
      <c r="I489" s="101"/>
      <c r="J489" s="101"/>
      <c r="K489" s="101"/>
      <c r="L489" s="101"/>
      <c r="M489" s="101"/>
      <c r="N489" s="101"/>
      <c r="O489" s="101"/>
    </row>
    <row r="490" spans="2:15" ht="12.75">
      <c r="B490" s="101"/>
      <c r="C490" s="101"/>
      <c r="D490" s="101"/>
      <c r="E490" s="101"/>
      <c r="F490" s="101"/>
      <c r="G490" s="101"/>
      <c r="H490" s="101"/>
      <c r="I490" s="101"/>
      <c r="J490" s="101"/>
      <c r="K490" s="101"/>
      <c r="L490" s="101"/>
      <c r="M490" s="101"/>
      <c r="N490" s="101"/>
      <c r="O490" s="101"/>
    </row>
    <row r="491" spans="2:15" ht="12.75">
      <c r="B491" s="101"/>
      <c r="C491" s="101"/>
      <c r="D491" s="101"/>
      <c r="E491" s="101"/>
      <c r="F491" s="101"/>
      <c r="G491" s="101"/>
      <c r="H491" s="101"/>
      <c r="I491" s="101"/>
      <c r="J491" s="101"/>
      <c r="K491" s="101"/>
      <c r="L491" s="101"/>
      <c r="M491" s="101"/>
      <c r="N491" s="101"/>
      <c r="O491" s="101"/>
    </row>
    <row r="492" spans="2:15" ht="12.75">
      <c r="B492" s="101"/>
      <c r="C492" s="101"/>
      <c r="D492" s="101"/>
      <c r="E492" s="101"/>
      <c r="F492" s="101"/>
      <c r="G492" s="101"/>
      <c r="H492" s="101"/>
      <c r="I492" s="101"/>
      <c r="J492" s="101"/>
      <c r="K492" s="101"/>
      <c r="L492" s="101"/>
      <c r="M492" s="101"/>
      <c r="N492" s="101"/>
      <c r="O492" s="101"/>
    </row>
  </sheetData>
  <sheetProtection password="E95C" sheet="1" objects="1" scenarios="1" selectLockedCells="1"/>
  <mergeCells count="19">
    <mergeCell ref="C21:N21"/>
    <mergeCell ref="C22:N22"/>
    <mergeCell ref="C23:N23"/>
    <mergeCell ref="B1:N1"/>
    <mergeCell ref="K9:N9"/>
    <mergeCell ref="C12:N12"/>
    <mergeCell ref="F11:H11"/>
    <mergeCell ref="K18:N18"/>
    <mergeCell ref="B19:N19"/>
    <mergeCell ref="C24:N24"/>
    <mergeCell ref="C25:N25"/>
    <mergeCell ref="I36:N36"/>
    <mergeCell ref="B38:N38"/>
    <mergeCell ref="C28:N28"/>
    <mergeCell ref="C30:N30"/>
    <mergeCell ref="H31:I31"/>
    <mergeCell ref="C32:N32"/>
    <mergeCell ref="C29:F29"/>
    <mergeCell ref="C26:N26"/>
  </mergeCells>
  <printOptions/>
  <pageMargins left="0.75" right="0.75" top="1" bottom="1" header="0.5" footer="0.5"/>
  <pageSetup horizontalDpi="300" verticalDpi="300" orientation="portrait" paperSize="5" r:id="rId1"/>
</worksheet>
</file>

<file path=xl/worksheets/sheet12.xml><?xml version="1.0" encoding="utf-8"?>
<worksheet xmlns="http://schemas.openxmlformats.org/spreadsheetml/2006/main" xmlns:r="http://schemas.openxmlformats.org/officeDocument/2006/relationships">
  <sheetPr codeName="Sheet12"/>
  <dimension ref="A1:P39"/>
  <sheetViews>
    <sheetView zoomScalePageLayoutView="0" workbookViewId="0" topLeftCell="A4">
      <selection activeCell="L27" sqref="L27:M27"/>
    </sheetView>
  </sheetViews>
  <sheetFormatPr defaultColWidth="9.140625" defaultRowHeight="12.75"/>
  <cols>
    <col min="1" max="1" width="4.140625" style="9" customWidth="1"/>
    <col min="2" max="2" width="24.421875" style="9" customWidth="1"/>
    <col min="3" max="3" width="4.8515625" style="9" customWidth="1"/>
    <col min="4" max="4" width="7.00390625" style="9" customWidth="1"/>
    <col min="5" max="5" width="9.7109375" style="9" customWidth="1"/>
    <col min="6" max="6" width="8.140625" style="9" customWidth="1"/>
    <col min="7" max="7" width="9.8515625" style="9" customWidth="1"/>
    <col min="8" max="8" width="8.00390625" style="9" customWidth="1"/>
    <col min="9" max="9" width="6.28125" style="9" customWidth="1"/>
    <col min="10" max="10" width="9.7109375" style="9" customWidth="1"/>
    <col min="11" max="16384" width="9.140625" style="9" customWidth="1"/>
  </cols>
  <sheetData>
    <row r="1" spans="2:7" ht="15.75">
      <c r="B1" s="310" t="str">
        <f>CONCATENATE("D.D.O. CODE :  ",'P. TOKEN'!B7)</f>
        <v>D.D.O. CODE :  07020308008</v>
      </c>
      <c r="G1" s="309" t="s">
        <v>449</v>
      </c>
    </row>
    <row r="2" ht="15.75">
      <c r="G2" s="309" t="s">
        <v>450</v>
      </c>
    </row>
    <row r="3" ht="13.5" thickBot="1"/>
    <row r="4" spans="1:10" ht="15" customHeight="1" thickTop="1">
      <c r="A4" s="288"/>
      <c r="B4" s="289"/>
      <c r="C4" s="289"/>
      <c r="D4" s="289"/>
      <c r="E4" s="289"/>
      <c r="F4" s="289"/>
      <c r="G4" s="289"/>
      <c r="H4" s="289"/>
      <c r="I4" s="289"/>
      <c r="J4" s="290"/>
    </row>
    <row r="5" spans="1:13" s="78" customFormat="1" ht="67.5" customHeight="1">
      <c r="A5" s="894" t="str">
        <f>CONCATENATE("SCHEDULE SHOWING THE AAS ARREARS CREDITED TO                                                              Z.P.P.F. / G.P.F.  FROM   01-02-10  TO  31-05-2011  (16MONTHS)  OF","                                                                          ",PROCEEDINGS!C44,)</f>
        <v>SCHEDULE SHOWING THE AAS ARREARS CREDITED TO                                                              Z.P.P.F. / G.P.F.  FROM   01-02-10  TO  31-05-2011  (16MONTHS)  OF                                                                          P.BRAMHANANDA REDDY, H.M., MPPS,, CHAKRAYAPALEM</v>
      </c>
      <c r="B5" s="895"/>
      <c r="C5" s="895"/>
      <c r="D5" s="895"/>
      <c r="E5" s="895"/>
      <c r="F5" s="895"/>
      <c r="G5" s="895"/>
      <c r="H5" s="895"/>
      <c r="I5" s="895"/>
      <c r="J5" s="896"/>
      <c r="L5" s="132"/>
      <c r="M5" s="132"/>
    </row>
    <row r="6" spans="1:16" s="78" customFormat="1" ht="18" customHeight="1">
      <c r="A6" s="234"/>
      <c r="B6" s="136"/>
      <c r="C6" s="903" t="s">
        <v>431</v>
      </c>
      <c r="D6" s="903"/>
      <c r="E6" s="903"/>
      <c r="F6" s="902">
        <f>'WORK SHEET'!E66</f>
        <v>40628.01</v>
      </c>
      <c r="G6" s="902"/>
      <c r="H6" s="902"/>
      <c r="I6" s="41"/>
      <c r="J6" s="192"/>
      <c r="L6" s="422"/>
      <c r="M6" s="422"/>
      <c r="N6" s="422"/>
      <c r="O6" s="422"/>
      <c r="P6" s="422"/>
    </row>
    <row r="7" spans="1:10" ht="29.25" customHeight="1">
      <c r="A7" s="906" t="s">
        <v>140</v>
      </c>
      <c r="B7" s="907" t="s">
        <v>141</v>
      </c>
      <c r="C7" s="909" t="s">
        <v>142</v>
      </c>
      <c r="D7" s="909"/>
      <c r="E7" s="900" t="s">
        <v>143</v>
      </c>
      <c r="F7" s="909" t="s">
        <v>144</v>
      </c>
      <c r="G7" s="911" t="s">
        <v>448</v>
      </c>
      <c r="H7" s="909" t="s">
        <v>439</v>
      </c>
      <c r="I7" s="909"/>
      <c r="J7" s="910" t="s">
        <v>146</v>
      </c>
    </row>
    <row r="8" spans="1:10" ht="26.25" customHeight="1">
      <c r="A8" s="906"/>
      <c r="B8" s="908"/>
      <c r="C8" s="909"/>
      <c r="D8" s="909"/>
      <c r="E8" s="901"/>
      <c r="F8" s="909"/>
      <c r="G8" s="911"/>
      <c r="H8" s="102" t="s">
        <v>67</v>
      </c>
      <c r="I8" s="102" t="s">
        <v>147</v>
      </c>
      <c r="J8" s="910"/>
    </row>
    <row r="9" spans="1:10" ht="30" customHeight="1">
      <c r="A9" s="216">
        <v>1</v>
      </c>
      <c r="B9" s="308" t="str">
        <f>'WORK SHEET'!E2</f>
        <v>P.BRAMHANANDA REDDY</v>
      </c>
      <c r="C9" s="912" t="str">
        <f>PROCEEDINGS!G19</f>
        <v>H.M.</v>
      </c>
      <c r="D9" s="912"/>
      <c r="E9" s="292" t="str">
        <f>'WORK SHEET'!E7</f>
        <v>0718386</v>
      </c>
      <c r="F9" s="177">
        <f>'WORK SHEET'!E10</f>
        <v>16159</v>
      </c>
      <c r="G9" s="161">
        <f>BILL!AH27</f>
        <v>0</v>
      </c>
      <c r="H9" s="180" t="str">
        <f>'[1]BILL'!AE71</f>
        <v> </v>
      </c>
      <c r="I9" s="180"/>
      <c r="J9" s="293">
        <f>SUM(G9:I9)</f>
        <v>0</v>
      </c>
    </row>
    <row r="10" spans="1:10" s="78" customFormat="1" ht="30" customHeight="1">
      <c r="A10" s="216"/>
      <c r="B10" s="897" t="s">
        <v>148</v>
      </c>
      <c r="C10" s="898"/>
      <c r="D10" s="899"/>
      <c r="E10" s="104"/>
      <c r="F10" s="105"/>
      <c r="G10" s="160">
        <f>G9</f>
        <v>0</v>
      </c>
      <c r="H10" s="161"/>
      <c r="I10" s="162"/>
      <c r="J10" s="235">
        <f>J9</f>
        <v>0</v>
      </c>
    </row>
    <row r="11" spans="1:10" ht="12.75">
      <c r="A11" s="187"/>
      <c r="B11" s="33"/>
      <c r="C11" s="33"/>
      <c r="D11" s="33"/>
      <c r="E11" s="33"/>
      <c r="F11" s="33"/>
      <c r="G11" s="33"/>
      <c r="H11" s="33"/>
      <c r="I11" s="33"/>
      <c r="J11" s="188"/>
    </row>
    <row r="12" spans="1:10" ht="15.75">
      <c r="A12" s="656" t="str">
        <f>'WORK SHEET'!AJ150</f>
        <v>RUPEES ZERO ONLY</v>
      </c>
      <c r="B12" s="657"/>
      <c r="C12" s="657"/>
      <c r="D12" s="657"/>
      <c r="E12" s="657"/>
      <c r="F12" s="657"/>
      <c r="G12" s="657"/>
      <c r="H12" s="657"/>
      <c r="I12" s="657"/>
      <c r="J12" s="658"/>
    </row>
    <row r="13" spans="1:10" ht="12.75">
      <c r="A13" s="187"/>
      <c r="B13" s="33"/>
      <c r="C13" s="33"/>
      <c r="D13" s="33"/>
      <c r="E13" s="33"/>
      <c r="F13" s="33"/>
      <c r="G13" s="33"/>
      <c r="H13" s="33"/>
      <c r="I13" s="33"/>
      <c r="J13" s="188"/>
    </row>
    <row r="14" spans="1:10" ht="15">
      <c r="A14" s="187"/>
      <c r="B14" s="33"/>
      <c r="C14" s="33"/>
      <c r="D14" s="33"/>
      <c r="E14" s="33"/>
      <c r="F14" s="33"/>
      <c r="G14" s="33"/>
      <c r="H14" s="904" t="s">
        <v>149</v>
      </c>
      <c r="I14" s="904"/>
      <c r="J14" s="905"/>
    </row>
    <row r="15" spans="1:10" ht="15">
      <c r="A15" s="187"/>
      <c r="B15" s="33"/>
      <c r="C15" s="33"/>
      <c r="D15" s="33"/>
      <c r="E15" s="33"/>
      <c r="F15" s="33"/>
      <c r="G15" s="33"/>
      <c r="H15" s="294"/>
      <c r="I15" s="294"/>
      <c r="J15" s="295"/>
    </row>
    <row r="16" spans="1:10" ht="15">
      <c r="A16" s="187"/>
      <c r="B16" s="33"/>
      <c r="C16" s="33"/>
      <c r="D16" s="33"/>
      <c r="E16" s="33"/>
      <c r="F16" s="33"/>
      <c r="G16" s="33"/>
      <c r="H16" s="294"/>
      <c r="I16" s="294"/>
      <c r="J16" s="295"/>
    </row>
    <row r="17" spans="1:10" ht="15.75" thickBot="1">
      <c r="A17" s="202"/>
      <c r="B17" s="203"/>
      <c r="C17" s="203"/>
      <c r="D17" s="203"/>
      <c r="E17" s="203"/>
      <c r="F17" s="203"/>
      <c r="G17" s="203"/>
      <c r="H17" s="296"/>
      <c r="I17" s="296"/>
      <c r="J17" s="297"/>
    </row>
    <row r="18" spans="8:10" ht="15.75" thickTop="1">
      <c r="H18" s="298"/>
      <c r="I18" s="298"/>
      <c r="J18" s="298"/>
    </row>
    <row r="19" spans="8:10" ht="15">
      <c r="H19" s="298"/>
      <c r="I19" s="298"/>
      <c r="J19" s="298"/>
    </row>
    <row r="20" spans="8:10" ht="15">
      <c r="H20" s="298"/>
      <c r="I20" s="298"/>
      <c r="J20" s="298"/>
    </row>
    <row r="21" spans="8:10" ht="15">
      <c r="H21" s="298"/>
      <c r="I21" s="298"/>
      <c r="J21" s="298"/>
    </row>
    <row r="22" spans="8:10" ht="15">
      <c r="H22" s="298"/>
      <c r="I22" s="298"/>
      <c r="J22" s="298"/>
    </row>
    <row r="23" spans="2:7" ht="15.75">
      <c r="B23" s="310" t="str">
        <f>CONCATENATE("D.D.O. CODE :  ",'P. TOKEN'!B7)</f>
        <v>D.D.O. CODE :  07020308008</v>
      </c>
      <c r="G23" s="309" t="s">
        <v>449</v>
      </c>
    </row>
    <row r="24" ht="15.75">
      <c r="G24" s="309" t="s">
        <v>450</v>
      </c>
    </row>
    <row r="25" ht="13.5" thickBot="1"/>
    <row r="26" spans="1:10" ht="13.5" thickTop="1">
      <c r="A26" s="288"/>
      <c r="B26" s="289"/>
      <c r="C26" s="289"/>
      <c r="D26" s="289"/>
      <c r="E26" s="289"/>
      <c r="F26" s="289"/>
      <c r="G26" s="289"/>
      <c r="H26" s="289"/>
      <c r="I26" s="289"/>
      <c r="J26" s="290"/>
    </row>
    <row r="27" spans="1:13" s="78" customFormat="1" ht="67.5" customHeight="1">
      <c r="A27" s="894" t="str">
        <f>A5</f>
        <v>SCHEDULE SHOWING THE AAS ARREARS CREDITED TO                                                              Z.P.P.F. / G.P.F.  FROM   01-02-10  TO  31-05-2011  (16MONTHS)  OF                                                                          P.BRAMHANANDA REDDY, H.M., MPPS,, CHAKRAYAPALEM</v>
      </c>
      <c r="B27" s="895"/>
      <c r="C27" s="895"/>
      <c r="D27" s="895"/>
      <c r="E27" s="895"/>
      <c r="F27" s="895"/>
      <c r="G27" s="895"/>
      <c r="H27" s="895"/>
      <c r="I27" s="895"/>
      <c r="J27" s="896"/>
      <c r="L27" s="132"/>
      <c r="M27" s="132"/>
    </row>
    <row r="28" spans="1:16" s="78" customFormat="1" ht="14.25" customHeight="1">
      <c r="A28" s="234"/>
      <c r="B28" s="136"/>
      <c r="C28" s="903" t="s">
        <v>431</v>
      </c>
      <c r="D28" s="903"/>
      <c r="E28" s="903"/>
      <c r="F28" s="902">
        <f>F6</f>
        <v>40628.01</v>
      </c>
      <c r="G28" s="902"/>
      <c r="H28" s="902"/>
      <c r="I28" s="41"/>
      <c r="J28" s="192"/>
      <c r="L28" s="422"/>
      <c r="M28" s="422"/>
      <c r="N28" s="422"/>
      <c r="O28" s="422"/>
      <c r="P28" s="422"/>
    </row>
    <row r="29" spans="1:10" ht="29.25" customHeight="1">
      <c r="A29" s="906" t="s">
        <v>140</v>
      </c>
      <c r="B29" s="907" t="s">
        <v>141</v>
      </c>
      <c r="C29" s="909" t="s">
        <v>142</v>
      </c>
      <c r="D29" s="909"/>
      <c r="E29" s="900" t="s">
        <v>143</v>
      </c>
      <c r="F29" s="909" t="s">
        <v>144</v>
      </c>
      <c r="G29" s="911" t="s">
        <v>448</v>
      </c>
      <c r="H29" s="909" t="s">
        <v>145</v>
      </c>
      <c r="I29" s="909"/>
      <c r="J29" s="910" t="s">
        <v>146</v>
      </c>
    </row>
    <row r="30" spans="1:10" ht="26.25" customHeight="1">
      <c r="A30" s="906"/>
      <c r="B30" s="908"/>
      <c r="C30" s="909"/>
      <c r="D30" s="909"/>
      <c r="E30" s="901"/>
      <c r="F30" s="909"/>
      <c r="G30" s="911"/>
      <c r="H30" s="102" t="s">
        <v>67</v>
      </c>
      <c r="I30" s="102" t="s">
        <v>147</v>
      </c>
      <c r="J30" s="910"/>
    </row>
    <row r="31" spans="1:10" ht="30" customHeight="1">
      <c r="A31" s="216">
        <v>1</v>
      </c>
      <c r="B31" s="291" t="str">
        <f>B9</f>
        <v>P.BRAMHANANDA REDDY</v>
      </c>
      <c r="C31" s="912" t="str">
        <f>C9</f>
        <v>H.M.</v>
      </c>
      <c r="D31" s="912"/>
      <c r="E31" s="292" t="str">
        <f>E9</f>
        <v>0718386</v>
      </c>
      <c r="F31" s="177">
        <f>F9</f>
        <v>16159</v>
      </c>
      <c r="G31" s="161">
        <f>G9</f>
        <v>0</v>
      </c>
      <c r="H31" s="180"/>
      <c r="I31" s="180"/>
      <c r="J31" s="293">
        <f>SUM(G31:I31)</f>
        <v>0</v>
      </c>
    </row>
    <row r="32" spans="1:10" s="78" customFormat="1" ht="30" customHeight="1">
      <c r="A32" s="216"/>
      <c r="B32" s="897" t="s">
        <v>148</v>
      </c>
      <c r="C32" s="898"/>
      <c r="D32" s="899"/>
      <c r="E32" s="104"/>
      <c r="F32" s="105"/>
      <c r="G32" s="160">
        <f>G31</f>
        <v>0</v>
      </c>
      <c r="H32" s="161"/>
      <c r="I32" s="162"/>
      <c r="J32" s="235">
        <f>J31</f>
        <v>0</v>
      </c>
    </row>
    <row r="33" spans="1:10" ht="12.75">
      <c r="A33" s="187"/>
      <c r="B33" s="33"/>
      <c r="C33" s="33"/>
      <c r="D33" s="33"/>
      <c r="E33" s="33"/>
      <c r="F33" s="33"/>
      <c r="G33" s="33"/>
      <c r="H33" s="33"/>
      <c r="I33" s="33"/>
      <c r="J33" s="188"/>
    </row>
    <row r="34" spans="1:10" ht="15.75">
      <c r="A34" s="656" t="str">
        <f>A12</f>
        <v>RUPEES ZERO ONLY</v>
      </c>
      <c r="B34" s="657"/>
      <c r="C34" s="657"/>
      <c r="D34" s="657"/>
      <c r="E34" s="657"/>
      <c r="F34" s="657"/>
      <c r="G34" s="657"/>
      <c r="H34" s="657"/>
      <c r="I34" s="657"/>
      <c r="J34" s="658"/>
    </row>
    <row r="35" spans="1:10" ht="12.75">
      <c r="A35" s="187"/>
      <c r="B35" s="33"/>
      <c r="C35" s="33"/>
      <c r="D35" s="33"/>
      <c r="E35" s="33"/>
      <c r="F35" s="33"/>
      <c r="G35" s="33"/>
      <c r="H35" s="33"/>
      <c r="I35" s="33"/>
      <c r="J35" s="188"/>
    </row>
    <row r="36" spans="1:10" ht="15">
      <c r="A36" s="187"/>
      <c r="B36" s="33"/>
      <c r="C36" s="33"/>
      <c r="D36" s="33"/>
      <c r="E36" s="33"/>
      <c r="F36" s="33"/>
      <c r="G36" s="33"/>
      <c r="H36" s="904" t="s">
        <v>149</v>
      </c>
      <c r="I36" s="904"/>
      <c r="J36" s="905"/>
    </row>
    <row r="37" spans="1:10" ht="12.75">
      <c r="A37" s="187"/>
      <c r="B37" s="33"/>
      <c r="C37" s="33"/>
      <c r="D37" s="33"/>
      <c r="E37" s="33"/>
      <c r="F37" s="33"/>
      <c r="G37" s="33"/>
      <c r="H37" s="33"/>
      <c r="I37" s="33"/>
      <c r="J37" s="188"/>
    </row>
    <row r="38" spans="1:10" ht="12.75">
      <c r="A38" s="187"/>
      <c r="B38" s="33"/>
      <c r="C38" s="33"/>
      <c r="D38" s="33"/>
      <c r="E38" s="33"/>
      <c r="F38" s="33"/>
      <c r="G38" s="33"/>
      <c r="H38" s="33"/>
      <c r="I38" s="33"/>
      <c r="J38" s="188"/>
    </row>
    <row r="39" spans="1:10" ht="13.5" thickBot="1">
      <c r="A39" s="202"/>
      <c r="B39" s="203"/>
      <c r="C39" s="203"/>
      <c r="D39" s="203"/>
      <c r="E39" s="203"/>
      <c r="F39" s="203"/>
      <c r="G39" s="203"/>
      <c r="H39" s="203"/>
      <c r="I39" s="203"/>
      <c r="J39" s="204"/>
    </row>
    <row r="40" ht="13.5" thickTop="1"/>
  </sheetData>
  <sheetProtection password="E95C" sheet="1" selectLockedCells="1"/>
  <mergeCells count="30">
    <mergeCell ref="B7:B8"/>
    <mergeCell ref="C7:D8"/>
    <mergeCell ref="B32:D32"/>
    <mergeCell ref="A12:J12"/>
    <mergeCell ref="H14:J14"/>
    <mergeCell ref="C9:D9"/>
    <mergeCell ref="F29:F30"/>
    <mergeCell ref="G29:G30"/>
    <mergeCell ref="H29:I29"/>
    <mergeCell ref="C31:D31"/>
    <mergeCell ref="H36:J36"/>
    <mergeCell ref="A27:J27"/>
    <mergeCell ref="A29:A30"/>
    <mergeCell ref="B29:B30"/>
    <mergeCell ref="C29:D30"/>
    <mergeCell ref="A34:J34"/>
    <mergeCell ref="J29:J30"/>
    <mergeCell ref="F28:H28"/>
    <mergeCell ref="C28:E28"/>
    <mergeCell ref="E29:E30"/>
    <mergeCell ref="A5:J5"/>
    <mergeCell ref="B10:D10"/>
    <mergeCell ref="E7:E8"/>
    <mergeCell ref="F6:H6"/>
    <mergeCell ref="C6:E6"/>
    <mergeCell ref="F7:F8"/>
    <mergeCell ref="G7:G8"/>
    <mergeCell ref="H7:I7"/>
    <mergeCell ref="J7:J8"/>
    <mergeCell ref="A7:A8"/>
  </mergeCells>
  <printOptions horizontalCentered="1"/>
  <pageMargins left="0.25" right="0.25" top="0.75" bottom="0.75" header="0.3" footer="0.3"/>
  <pageSetup horizontalDpi="300" verticalDpi="300" orientation="portrait" paperSize="5" r:id="rId1"/>
</worksheet>
</file>

<file path=xl/worksheets/sheet13.xml><?xml version="1.0" encoding="utf-8"?>
<worksheet xmlns="http://schemas.openxmlformats.org/spreadsheetml/2006/main" xmlns:r="http://schemas.openxmlformats.org/officeDocument/2006/relationships">
  <sheetPr codeName="Sheet13"/>
  <dimension ref="A1:J44"/>
  <sheetViews>
    <sheetView zoomScalePageLayoutView="0" workbookViewId="0" topLeftCell="A1">
      <selection activeCell="H12" sqref="H12"/>
    </sheetView>
  </sheetViews>
  <sheetFormatPr defaultColWidth="9.140625" defaultRowHeight="12.75"/>
  <cols>
    <col min="1" max="1" width="3.421875" style="0" customWidth="1"/>
    <col min="2" max="2" width="8.28125" style="0" customWidth="1"/>
    <col min="3" max="3" width="24.57421875" style="0" customWidth="1"/>
    <col min="5" max="5" width="6.8515625" style="0" customWidth="1"/>
    <col min="6" max="6" width="7.28125" style="0" customWidth="1"/>
    <col min="7" max="7" width="8.140625" style="0" customWidth="1"/>
    <col min="8" max="8" width="6.7109375" style="0" customWidth="1"/>
    <col min="9" max="9" width="7.421875" style="0" customWidth="1"/>
    <col min="10" max="10" width="7.57421875" style="0" customWidth="1"/>
  </cols>
  <sheetData>
    <row r="1" spans="1:10" ht="39.75" customHeight="1">
      <c r="A1" s="913" t="s">
        <v>558</v>
      </c>
      <c r="B1" s="913"/>
      <c r="C1" s="913"/>
      <c r="D1" s="913"/>
      <c r="E1" s="913"/>
      <c r="F1" s="913"/>
      <c r="G1" s="913"/>
      <c r="H1" s="913"/>
      <c r="I1" s="913"/>
      <c r="J1" s="913"/>
    </row>
    <row r="2" spans="1:10" ht="20.25" customHeight="1">
      <c r="A2" s="915" t="str">
        <f>CONCATENATE('WORK SHEET'!E2," ",'WORK SHEET'!E3," ",'WORK SHEET'!E4," FOR THE MONTH OF")</f>
        <v>P.BRAMHANANDA REDDY MPPS, CHAKRAYAPALEM FOR THE MONTH OF</v>
      </c>
      <c r="B2" s="915"/>
      <c r="C2" s="915"/>
      <c r="D2" s="915"/>
      <c r="E2" s="915"/>
      <c r="F2" s="915"/>
      <c r="G2" s="915"/>
      <c r="H2" s="915"/>
      <c r="I2" s="915"/>
      <c r="J2" s="915"/>
    </row>
    <row r="3" spans="1:10" ht="15.75" customHeight="1">
      <c r="A3" s="916" t="s">
        <v>565</v>
      </c>
      <c r="B3" s="916"/>
      <c r="C3" s="916"/>
      <c r="D3" s="916"/>
      <c r="E3" s="917">
        <f>'WORK SHEET'!E136</f>
        <v>40817.01</v>
      </c>
      <c r="F3" s="917"/>
      <c r="G3" s="446"/>
      <c r="H3" s="445"/>
      <c r="I3" s="445"/>
      <c r="J3" s="445"/>
    </row>
    <row r="4" spans="1:10" s="78" customFormat="1" ht="18" customHeight="1">
      <c r="A4" s="914" t="s">
        <v>554</v>
      </c>
      <c r="B4" s="914"/>
      <c r="C4" s="914"/>
      <c r="D4" s="914"/>
      <c r="E4" s="914"/>
      <c r="F4" s="914"/>
      <c r="G4" s="914"/>
      <c r="H4" s="914"/>
      <c r="I4" s="914"/>
      <c r="J4" s="914"/>
    </row>
    <row r="5" spans="1:10" ht="34.5" customHeight="1">
      <c r="A5" s="918" t="s">
        <v>569</v>
      </c>
      <c r="B5" s="918"/>
      <c r="C5" s="918"/>
      <c r="D5" s="918"/>
      <c r="E5" s="918"/>
      <c r="F5" s="918"/>
      <c r="G5" s="918"/>
      <c r="H5" s="918"/>
      <c r="I5" s="918"/>
      <c r="J5" s="918"/>
    </row>
    <row r="6" spans="1:10" s="78" customFormat="1" ht="83.25" customHeight="1">
      <c r="A6" s="440" t="s">
        <v>555</v>
      </c>
      <c r="B6" s="441" t="s">
        <v>143</v>
      </c>
      <c r="C6" s="441" t="s">
        <v>564</v>
      </c>
      <c r="D6" s="441" t="s">
        <v>563</v>
      </c>
      <c r="E6" s="441" t="s">
        <v>560</v>
      </c>
      <c r="F6" s="442" t="s">
        <v>561</v>
      </c>
      <c r="G6" s="442" t="s">
        <v>559</v>
      </c>
      <c r="H6" s="442" t="s">
        <v>562</v>
      </c>
      <c r="I6" s="441" t="s">
        <v>556</v>
      </c>
      <c r="J6" s="440" t="s">
        <v>536</v>
      </c>
    </row>
    <row r="7" spans="1:10" s="78" customFormat="1" ht="16.5" customHeight="1">
      <c r="A7" s="103">
        <v>1</v>
      </c>
      <c r="B7" s="434" t="str">
        <f>'WORK SHEET'!E7</f>
        <v>0718386</v>
      </c>
      <c r="C7" s="443" t="str">
        <f>'WORK SHEET'!E2</f>
        <v>P.BRAMHANANDA REDDY</v>
      </c>
      <c r="D7" s="444">
        <f>IF('WORK SHEET'!BP80=0," ",'WORK SHEET'!BP80)</f>
        <v>40210</v>
      </c>
      <c r="E7" s="523">
        <f>IF('WORK SHEET'!BW80=0," ",'WORK SHEET'!BW80)</f>
        <v>15392</v>
      </c>
      <c r="F7" s="523">
        <f>IF('WORK SHEET'!BX80=0," ",'WORK SHEET'!BX80)</f>
        <v>150</v>
      </c>
      <c r="G7" s="523">
        <f>IF('WORK SHEET'!BY80=0," ",'WORK SHEET'!BY80)</f>
        <v>15392</v>
      </c>
      <c r="H7" s="523">
        <f>IF('WORK SHEET'!BZ80=0," ",'WORK SHEET'!BZ80)</f>
        <v>150</v>
      </c>
      <c r="I7" s="103">
        <f>IF(F7=" "," ",F7-H7)</f>
        <v>0</v>
      </c>
      <c r="J7" s="103"/>
    </row>
    <row r="8" spans="1:10" s="78" customFormat="1" ht="16.5" customHeight="1">
      <c r="A8" s="103"/>
      <c r="B8" s="434"/>
      <c r="C8" s="443">
        <f>PROCEEDINGS!H19</f>
        <v>0</v>
      </c>
      <c r="D8" s="444">
        <f>IF('WORK SHEET'!BP81=0," ",'WORK SHEET'!BP81)</f>
        <v>40238</v>
      </c>
      <c r="E8" s="523">
        <f>IF('WORK SHEET'!BW81=0," ",'WORK SHEET'!BW81)</f>
        <v>15392</v>
      </c>
      <c r="F8" s="523">
        <f>IF('WORK SHEET'!BX81=0," ",'WORK SHEET'!BX81)</f>
        <v>150</v>
      </c>
      <c r="G8" s="523">
        <f>IF('WORK SHEET'!BY81=0," ",'WORK SHEET'!BY81)</f>
        <v>15392</v>
      </c>
      <c r="H8" s="523">
        <f>IF('WORK SHEET'!BZ81=0," ",'WORK SHEET'!BZ81)</f>
        <v>150</v>
      </c>
      <c r="I8" s="103">
        <f aca="true" t="shared" si="0" ref="I8:I29">IF(F8=" "," ",F8-H8)</f>
        <v>0</v>
      </c>
      <c r="J8" s="103"/>
    </row>
    <row r="9" spans="1:10" s="78" customFormat="1" ht="16.5" customHeight="1">
      <c r="A9" s="103"/>
      <c r="B9" s="434"/>
      <c r="C9" s="443"/>
      <c r="D9" s="444">
        <f>IF('WORK SHEET'!BP82=0," ",'WORK SHEET'!BP82)</f>
        <v>40269</v>
      </c>
      <c r="E9" s="523">
        <f>IF('WORK SHEET'!BW82=0," ",'WORK SHEET'!BW82)</f>
        <v>15392</v>
      </c>
      <c r="F9" s="523">
        <f>IF('WORK SHEET'!BX82=0," ",'WORK SHEET'!BX82)</f>
        <v>150</v>
      </c>
      <c r="G9" s="523">
        <f>IF('WORK SHEET'!BY82=0," ",'WORK SHEET'!BY82)</f>
        <v>15392</v>
      </c>
      <c r="H9" s="523">
        <f>IF('WORK SHEET'!BZ82=0," ",'WORK SHEET'!BZ82)</f>
        <v>150</v>
      </c>
      <c r="I9" s="103">
        <f t="shared" si="0"/>
        <v>0</v>
      </c>
      <c r="J9" s="103"/>
    </row>
    <row r="10" spans="1:10" s="78" customFormat="1" ht="16.5" customHeight="1">
      <c r="A10" s="103"/>
      <c r="B10" s="434"/>
      <c r="C10" s="443"/>
      <c r="D10" s="444">
        <f>IF('WORK SHEET'!BP83=0," ",'WORK SHEET'!BP83)</f>
        <v>40299</v>
      </c>
      <c r="E10" s="523">
        <f>IF('WORK SHEET'!BW83=0," ",'WORK SHEET'!BW83)</f>
        <v>15392</v>
      </c>
      <c r="F10" s="523">
        <f>IF('WORK SHEET'!BX83=0," ",'WORK SHEET'!BX83)</f>
        <v>150</v>
      </c>
      <c r="G10" s="523">
        <f>IF('WORK SHEET'!BY83=0," ",'WORK SHEET'!BY83)</f>
        <v>15392</v>
      </c>
      <c r="H10" s="523">
        <f>IF('WORK SHEET'!BZ83=0," ",'WORK SHEET'!BZ83)</f>
        <v>150</v>
      </c>
      <c r="I10" s="103">
        <f t="shared" si="0"/>
        <v>0</v>
      </c>
      <c r="J10" s="103"/>
    </row>
    <row r="11" spans="1:10" s="78" customFormat="1" ht="16.5" customHeight="1">
      <c r="A11" s="103"/>
      <c r="B11" s="434"/>
      <c r="C11" s="443"/>
      <c r="D11" s="444">
        <f>IF('WORK SHEET'!BP84=0," ",'WORK SHEET'!BP84)</f>
        <v>40330</v>
      </c>
      <c r="E11" s="523">
        <f>IF('WORK SHEET'!BW84=0," ",'WORK SHEET'!BW84)</f>
        <v>15392</v>
      </c>
      <c r="F11" s="523">
        <f>IF('WORK SHEET'!BX84=0," ",'WORK SHEET'!BX84)</f>
        <v>150</v>
      </c>
      <c r="G11" s="523">
        <f>IF('WORK SHEET'!BY84=0," ",'WORK SHEET'!BY84)</f>
        <v>15392</v>
      </c>
      <c r="H11" s="523">
        <f>IF('WORK SHEET'!BZ84=0," ",'WORK SHEET'!BZ84)</f>
        <v>150</v>
      </c>
      <c r="I11" s="103">
        <f t="shared" si="0"/>
        <v>0</v>
      </c>
      <c r="J11" s="103"/>
    </row>
    <row r="12" spans="1:10" s="78" customFormat="1" ht="16.5" customHeight="1">
      <c r="A12" s="103"/>
      <c r="B12" s="434"/>
      <c r="C12" s="443"/>
      <c r="D12" s="444">
        <f>IF('WORK SHEET'!BP85=0," ",'WORK SHEET'!BP85)</f>
        <v>40360</v>
      </c>
      <c r="E12" s="523">
        <f>IF('WORK SHEET'!BW85=0," ",'WORK SHEET'!BW85)</f>
        <v>16435</v>
      </c>
      <c r="F12" s="523">
        <f>IF('WORK SHEET'!BX85=0," ",'WORK SHEET'!BX85)</f>
        <v>150</v>
      </c>
      <c r="G12" s="523">
        <f>IF('WORK SHEET'!BY85=0," ",'WORK SHEET'!BY85)</f>
        <v>16435</v>
      </c>
      <c r="H12" s="523">
        <f>IF('WORK SHEET'!BZ85=0," ",'WORK SHEET'!BZ85)</f>
        <v>150</v>
      </c>
      <c r="I12" s="103">
        <f t="shared" si="0"/>
        <v>0</v>
      </c>
      <c r="J12" s="103"/>
    </row>
    <row r="13" spans="1:10" s="78" customFormat="1" ht="16.5" customHeight="1">
      <c r="A13" s="103"/>
      <c r="B13" s="434"/>
      <c r="C13" s="443"/>
      <c r="D13" s="444">
        <f>IF('WORK SHEET'!BP86=0," ",'WORK SHEET'!BP86)</f>
        <v>40391</v>
      </c>
      <c r="E13" s="523">
        <f>IF('WORK SHEET'!BW86=0," ",'WORK SHEET'!BW86)</f>
        <v>16435</v>
      </c>
      <c r="F13" s="523">
        <f>IF('WORK SHEET'!BX86=0," ",'WORK SHEET'!BX86)</f>
        <v>150</v>
      </c>
      <c r="G13" s="523">
        <f>IF('WORK SHEET'!BY86=0," ",'WORK SHEET'!BY86)</f>
        <v>16435</v>
      </c>
      <c r="H13" s="523">
        <f>IF('WORK SHEET'!BZ86=0," ",'WORK SHEET'!BZ86)</f>
        <v>150</v>
      </c>
      <c r="I13" s="103">
        <f t="shared" si="0"/>
        <v>0</v>
      </c>
      <c r="J13" s="103"/>
    </row>
    <row r="14" spans="1:10" s="78" customFormat="1" ht="16.5" customHeight="1">
      <c r="A14" s="103"/>
      <c r="B14" s="434"/>
      <c r="C14" s="443"/>
      <c r="D14" s="444">
        <f>IF('WORK SHEET'!BP87=0," ",'WORK SHEET'!BP87)</f>
        <v>40422</v>
      </c>
      <c r="E14" s="523">
        <f>IF('WORK SHEET'!BW87=0," ",'WORK SHEET'!BW87)</f>
        <v>16435</v>
      </c>
      <c r="F14" s="523">
        <f>IF('WORK SHEET'!BX87=0," ",'WORK SHEET'!BX87)</f>
        <v>150</v>
      </c>
      <c r="G14" s="523">
        <f>IF('WORK SHEET'!BY87=0," ",'WORK SHEET'!BY87)</f>
        <v>16435</v>
      </c>
      <c r="H14" s="523">
        <f>IF('WORK SHEET'!BZ87=0," ",'WORK SHEET'!BZ87)</f>
        <v>150</v>
      </c>
      <c r="I14" s="103">
        <f t="shared" si="0"/>
        <v>0</v>
      </c>
      <c r="J14" s="103"/>
    </row>
    <row r="15" spans="1:10" s="78" customFormat="1" ht="16.5" customHeight="1">
      <c r="A15" s="103"/>
      <c r="B15" s="434"/>
      <c r="C15" s="443"/>
      <c r="D15" s="444">
        <f>IF('WORK SHEET'!BP88=0," ",'WORK SHEET'!BP88)</f>
        <v>40452</v>
      </c>
      <c r="E15" s="523">
        <f>IF('WORK SHEET'!BW88=0," ",'WORK SHEET'!BW88)</f>
        <v>16920</v>
      </c>
      <c r="F15" s="523">
        <f>IF('WORK SHEET'!BX88=0," ",'WORK SHEET'!BX88)</f>
        <v>150</v>
      </c>
      <c r="G15" s="523">
        <f>IF('WORK SHEET'!BY88=0," ",'WORK SHEET'!BY88)</f>
        <v>16920</v>
      </c>
      <c r="H15" s="523">
        <f>IF('WORK SHEET'!BZ88=0," ",'WORK SHEET'!BZ88)</f>
        <v>150</v>
      </c>
      <c r="I15" s="103">
        <f t="shared" si="0"/>
        <v>0</v>
      </c>
      <c r="J15" s="103"/>
    </row>
    <row r="16" spans="1:10" s="78" customFormat="1" ht="16.5" customHeight="1">
      <c r="A16" s="103"/>
      <c r="B16" s="434"/>
      <c r="C16" s="443"/>
      <c r="D16" s="444">
        <f>IF('WORK SHEET'!BP89=0," ",'WORK SHEET'!BP89)</f>
        <v>40483</v>
      </c>
      <c r="E16" s="523">
        <f>IF('WORK SHEET'!BW89=0," ",'WORK SHEET'!BW89)</f>
        <v>16920</v>
      </c>
      <c r="F16" s="523">
        <f>IF('WORK SHEET'!BX89=0," ",'WORK SHEET'!BX89)</f>
        <v>150</v>
      </c>
      <c r="G16" s="523">
        <f>IF('WORK SHEET'!BY89=0," ",'WORK SHEET'!BY89)</f>
        <v>16920</v>
      </c>
      <c r="H16" s="523">
        <f>IF('WORK SHEET'!BZ89=0," ",'WORK SHEET'!BZ89)</f>
        <v>150</v>
      </c>
      <c r="I16" s="103">
        <f t="shared" si="0"/>
        <v>0</v>
      </c>
      <c r="J16" s="103"/>
    </row>
    <row r="17" spans="1:10" s="78" customFormat="1" ht="16.5" customHeight="1">
      <c r="A17" s="103"/>
      <c r="B17" s="434"/>
      <c r="C17" s="443"/>
      <c r="D17" s="444">
        <f>IF('WORK SHEET'!BP90=0," ",'WORK SHEET'!BP90)</f>
        <v>40513</v>
      </c>
      <c r="E17" s="523">
        <f>IF('WORK SHEET'!BW90=0," ",'WORK SHEET'!BW90)</f>
        <v>16920</v>
      </c>
      <c r="F17" s="523">
        <f>IF('WORK SHEET'!BX90=0," ",'WORK SHEET'!BX90)</f>
        <v>150</v>
      </c>
      <c r="G17" s="523">
        <f>IF('WORK SHEET'!BY90=0," ",'WORK SHEET'!BY90)</f>
        <v>16920</v>
      </c>
      <c r="H17" s="523">
        <f>IF('WORK SHEET'!BZ90=0," ",'WORK SHEET'!BZ90)</f>
        <v>150</v>
      </c>
      <c r="I17" s="103">
        <f t="shared" si="0"/>
        <v>0</v>
      </c>
      <c r="J17" s="103"/>
    </row>
    <row r="18" spans="1:10" s="78" customFormat="1" ht="16.5" customHeight="1">
      <c r="A18" s="103"/>
      <c r="B18" s="434"/>
      <c r="C18" s="443"/>
      <c r="D18" s="444">
        <f>IF('WORK SHEET'!BP91=0," ",'WORK SHEET'!BP91)</f>
        <v>40544</v>
      </c>
      <c r="E18" s="523">
        <f>IF('WORK SHEET'!BW91=0," ",'WORK SHEET'!BW91)</f>
        <v>17565</v>
      </c>
      <c r="F18" s="523">
        <f>IF('WORK SHEET'!BX91=0," ",'WORK SHEET'!BX91)</f>
        <v>150</v>
      </c>
      <c r="G18" s="523">
        <f>IF('WORK SHEET'!BY91=0," ",'WORK SHEET'!BY91)</f>
        <v>17565</v>
      </c>
      <c r="H18" s="523">
        <f>IF('WORK SHEET'!BZ91=0," ",'WORK SHEET'!BZ91)</f>
        <v>150</v>
      </c>
      <c r="I18" s="103">
        <f t="shared" si="0"/>
        <v>0</v>
      </c>
      <c r="J18" s="103"/>
    </row>
    <row r="19" spans="1:10" s="78" customFormat="1" ht="16.5" customHeight="1">
      <c r="A19" s="103"/>
      <c r="B19" s="434"/>
      <c r="C19" s="443"/>
      <c r="D19" s="444">
        <f>IF('WORK SHEET'!BP92=0," ",'WORK SHEET'!BP92)</f>
        <v>40575</v>
      </c>
      <c r="E19" s="523">
        <f>IF('WORK SHEET'!BW92=0," ",'WORK SHEET'!BW92)</f>
        <v>17565</v>
      </c>
      <c r="F19" s="523">
        <f>IF('WORK SHEET'!BX92=0," ",'WORK SHEET'!BX92)</f>
        <v>150</v>
      </c>
      <c r="G19" s="523">
        <f>IF('WORK SHEET'!BY92=0," ",'WORK SHEET'!BY92)</f>
        <v>17565</v>
      </c>
      <c r="H19" s="523">
        <f>IF('WORK SHEET'!BZ92=0," ",'WORK SHEET'!BZ92)</f>
        <v>150</v>
      </c>
      <c r="I19" s="103">
        <f t="shared" si="0"/>
        <v>0</v>
      </c>
      <c r="J19" s="103"/>
    </row>
    <row r="20" spans="1:10" s="78" customFormat="1" ht="16.5" customHeight="1">
      <c r="A20" s="103"/>
      <c r="B20" s="434"/>
      <c r="C20" s="443"/>
      <c r="D20" s="444">
        <f>IF('WORK SHEET'!BP93=0," ",'WORK SHEET'!BP93)</f>
        <v>40603</v>
      </c>
      <c r="E20" s="523">
        <f>IF('WORK SHEET'!BW93=0," ",'WORK SHEET'!BW93)</f>
        <v>17663</v>
      </c>
      <c r="F20" s="523">
        <f>IF('WORK SHEET'!BX93=0," ",'WORK SHEET'!BX93)</f>
        <v>150</v>
      </c>
      <c r="G20" s="523">
        <f>IF('WORK SHEET'!BY93=0," ",'WORK SHEET'!BY93)</f>
        <v>17663</v>
      </c>
      <c r="H20" s="523">
        <f>IF('WORK SHEET'!BZ93=0," ",'WORK SHEET'!BZ93)</f>
        <v>150</v>
      </c>
      <c r="I20" s="103">
        <f t="shared" si="0"/>
        <v>0</v>
      </c>
      <c r="J20" s="103"/>
    </row>
    <row r="21" spans="1:10" s="78" customFormat="1" ht="16.5" customHeight="1">
      <c r="A21" s="103"/>
      <c r="B21" s="434"/>
      <c r="C21" s="443"/>
      <c r="D21" s="444">
        <f>IF('WORK SHEET'!BP94=0," ",'WORK SHEET'!BP94)</f>
        <v>40634</v>
      </c>
      <c r="E21" s="523">
        <f>IF('WORK SHEET'!BW94=0," ",'WORK SHEET'!BW94)</f>
        <v>18327</v>
      </c>
      <c r="F21" s="523">
        <f>IF('WORK SHEET'!BX94=0," ",'WORK SHEET'!BX94)</f>
        <v>150</v>
      </c>
      <c r="G21" s="523">
        <f>IF('WORK SHEET'!BY94=0," ",'WORK SHEET'!BY94)</f>
        <v>18327</v>
      </c>
      <c r="H21" s="523">
        <f>IF('WORK SHEET'!BZ94=0," ",'WORK SHEET'!BZ94)</f>
        <v>150</v>
      </c>
      <c r="I21" s="103">
        <f t="shared" si="0"/>
        <v>0</v>
      </c>
      <c r="J21" s="103"/>
    </row>
    <row r="22" spans="1:10" s="78" customFormat="1" ht="16.5" customHeight="1">
      <c r="A22" s="103"/>
      <c r="B22" s="434"/>
      <c r="C22" s="443"/>
      <c r="D22" s="444">
        <f>IF('WORK SHEET'!BP95=0," ",'WORK SHEET'!BP95)</f>
        <v>40664</v>
      </c>
      <c r="E22" s="523">
        <f>IF('WORK SHEET'!BW95=0," ",'WORK SHEET'!BW95)</f>
        <v>18327</v>
      </c>
      <c r="F22" s="523">
        <f>IF('WORK SHEET'!BX95=0," ",'WORK SHEET'!BX95)</f>
        <v>150</v>
      </c>
      <c r="G22" s="523">
        <f>IF('WORK SHEET'!BY95=0," ",'WORK SHEET'!BY95)</f>
        <v>18327</v>
      </c>
      <c r="H22" s="523">
        <f>IF('WORK SHEET'!BZ95=0," ",'WORK SHEET'!BZ95)</f>
        <v>150</v>
      </c>
      <c r="I22" s="103">
        <f t="shared" si="0"/>
        <v>0</v>
      </c>
      <c r="J22" s="103"/>
    </row>
    <row r="23" spans="1:10" s="78" customFormat="1" ht="16.5" customHeight="1">
      <c r="A23" s="103"/>
      <c r="B23" s="434"/>
      <c r="C23" s="443"/>
      <c r="D23" s="444">
        <f>IF('WORK SHEET'!BP96=0," ",'WORK SHEET'!BP96)</f>
        <v>40695</v>
      </c>
      <c r="E23" s="523">
        <f>IF('WORK SHEET'!BW96=0," ",'WORK SHEET'!BW96)</f>
        <v>18327</v>
      </c>
      <c r="F23" s="523">
        <f>IF('WORK SHEET'!BX96=0," ",'WORK SHEET'!BX96)</f>
        <v>150</v>
      </c>
      <c r="G23" s="523">
        <f>IF('WORK SHEET'!BY96=0," ",'WORK SHEET'!BY96)</f>
        <v>18327</v>
      </c>
      <c r="H23" s="523">
        <f>IF('WORK SHEET'!BZ96=0," ",'WORK SHEET'!BZ96)</f>
        <v>150</v>
      </c>
      <c r="I23" s="103">
        <f t="shared" si="0"/>
        <v>0</v>
      </c>
      <c r="J23" s="103"/>
    </row>
    <row r="24" spans="1:10" s="78" customFormat="1" ht="16.5" customHeight="1">
      <c r="A24" s="103"/>
      <c r="B24" s="434"/>
      <c r="C24" s="443"/>
      <c r="D24" s="444">
        <f>IF('WORK SHEET'!BP97=0," ",'WORK SHEET'!BP97)</f>
        <v>40725</v>
      </c>
      <c r="E24" s="523">
        <f>IF('WORK SHEET'!BW97=0," ",'WORK SHEET'!BW97)</f>
        <v>18327</v>
      </c>
      <c r="F24" s="523">
        <f>IF('WORK SHEET'!BX97=0," ",'WORK SHEET'!BX97)</f>
        <v>150</v>
      </c>
      <c r="G24" s="523">
        <f>IF('WORK SHEET'!BY97=0," ",'WORK SHEET'!BY97)</f>
        <v>18327</v>
      </c>
      <c r="H24" s="523">
        <f>IF('WORK SHEET'!BZ97=0," ",'WORK SHEET'!BZ97)</f>
        <v>150</v>
      </c>
      <c r="I24" s="103">
        <f t="shared" si="0"/>
        <v>0</v>
      </c>
      <c r="J24" s="103"/>
    </row>
    <row r="25" spans="1:10" s="78" customFormat="1" ht="16.5" customHeight="1">
      <c r="A25" s="103"/>
      <c r="B25" s="434"/>
      <c r="C25" s="443"/>
      <c r="D25" s="444">
        <f>IF('WORK SHEET'!BP98=0," ",'WORK SHEET'!BP98)</f>
        <v>40756</v>
      </c>
      <c r="E25" s="523">
        <f>IF('WORK SHEET'!BW98=0," ",'WORK SHEET'!BW98)</f>
        <v>18327</v>
      </c>
      <c r="F25" s="523">
        <f>IF('WORK SHEET'!BX98=0," ",'WORK SHEET'!BX98)</f>
        <v>150</v>
      </c>
      <c r="G25" s="523">
        <f>IF('WORK SHEET'!BY98=0," ",'WORK SHEET'!BY98)</f>
        <v>18327</v>
      </c>
      <c r="H25" s="523">
        <f>IF('WORK SHEET'!BZ98=0," ",'WORK SHEET'!BZ98)</f>
        <v>150</v>
      </c>
      <c r="I25" s="103">
        <f t="shared" si="0"/>
        <v>0</v>
      </c>
      <c r="J25" s="103"/>
    </row>
    <row r="26" spans="1:10" s="78" customFormat="1" ht="16.5" customHeight="1">
      <c r="A26" s="103"/>
      <c r="B26" s="434"/>
      <c r="C26" s="443"/>
      <c r="D26" s="444">
        <f>IF('WORK SHEET'!BP99=0," ",'WORK SHEET'!BP99)</f>
        <v>40787</v>
      </c>
      <c r="E26" s="523">
        <f>IF('WORK SHEET'!BW99=0," ",'WORK SHEET'!BW99)</f>
        <v>18327</v>
      </c>
      <c r="F26" s="523">
        <f>IF('WORK SHEET'!BX99=0," ",'WORK SHEET'!BX99)</f>
        <v>150</v>
      </c>
      <c r="G26" s="523">
        <f>IF('WORK SHEET'!BY99=0," ",'WORK SHEET'!BY99)</f>
        <v>18327</v>
      </c>
      <c r="H26" s="523">
        <f>IF('WORK SHEET'!BZ99=0," ",'WORK SHEET'!BZ99)</f>
        <v>150</v>
      </c>
      <c r="I26" s="103">
        <f t="shared" si="0"/>
        <v>0</v>
      </c>
      <c r="J26" s="103"/>
    </row>
    <row r="27" spans="1:10" s="78" customFormat="1" ht="16.5" customHeight="1">
      <c r="A27" s="103"/>
      <c r="B27" s="434"/>
      <c r="C27" s="443"/>
      <c r="D27" s="444">
        <f>IF('WORK SHEET'!BP100=0," ",'WORK SHEET'!BP100)</f>
        <v>40817</v>
      </c>
      <c r="E27" s="523">
        <f>IF('WORK SHEET'!BW100=0," ",'WORK SHEET'!BW100)</f>
        <v>626</v>
      </c>
      <c r="F27" s="523">
        <f>IF('WORK SHEET'!BX100=0," ",'WORK SHEET'!BX100)</f>
        <v>60</v>
      </c>
      <c r="G27" s="523">
        <f>IF('WORK SHEET'!BY100=0," ",'WORK SHEET'!BY100)</f>
        <v>626</v>
      </c>
      <c r="H27" s="523">
        <f>IF('WORK SHEET'!BZ100=0," ",'WORK SHEET'!BZ100)</f>
        <v>60</v>
      </c>
      <c r="I27" s="103">
        <f t="shared" si="0"/>
        <v>0</v>
      </c>
      <c r="J27" s="103"/>
    </row>
    <row r="28" spans="1:10" s="78" customFormat="1" ht="16.5" customHeight="1">
      <c r="A28" s="103"/>
      <c r="B28" s="434"/>
      <c r="C28" s="443"/>
      <c r="D28" s="444" t="str">
        <f>IF('WORK SHEET'!BP101=0," ",'WORK SHEET'!BP101)</f>
        <v> </v>
      </c>
      <c r="E28" s="523" t="str">
        <f>IF('WORK SHEET'!BW101=0," ",'WORK SHEET'!BW101)</f>
        <v> </v>
      </c>
      <c r="F28" s="523" t="str">
        <f>IF('WORK SHEET'!BX101=0," ",'WORK SHEET'!BX101)</f>
        <v> </v>
      </c>
      <c r="G28" s="523" t="str">
        <f>IF('WORK SHEET'!BY101=0," ",'WORK SHEET'!BY101)</f>
        <v> </v>
      </c>
      <c r="H28" s="523" t="str">
        <f>IF('WORK SHEET'!BZ101=0," ",'WORK SHEET'!BZ101)</f>
        <v> </v>
      </c>
      <c r="I28" s="103" t="str">
        <f t="shared" si="0"/>
        <v> </v>
      </c>
      <c r="J28" s="103"/>
    </row>
    <row r="29" spans="1:10" s="78" customFormat="1" ht="16.5" customHeight="1">
      <c r="A29" s="103"/>
      <c r="B29" s="434"/>
      <c r="C29" s="443"/>
      <c r="D29" s="444" t="str">
        <f>IF('WORK SHEET'!BP102=0," ",'WORK SHEET'!BP102)</f>
        <v> </v>
      </c>
      <c r="E29" s="523" t="str">
        <f>IF('WORK SHEET'!BW102=0," ",'WORK SHEET'!BW102)</f>
        <v> </v>
      </c>
      <c r="F29" s="523" t="str">
        <f>IF('WORK SHEET'!BX102=0," ",'WORK SHEET'!BX102)</f>
        <v> </v>
      </c>
      <c r="G29" s="523" t="str">
        <f>IF('WORK SHEET'!BY102=0," ",'WORK SHEET'!BY102)</f>
        <v> </v>
      </c>
      <c r="H29" s="523" t="str">
        <f>IF('WORK SHEET'!BZ102=0," ",'WORK SHEET'!BZ102)</f>
        <v> </v>
      </c>
      <c r="I29" s="103" t="str">
        <f t="shared" si="0"/>
        <v> </v>
      </c>
      <c r="J29" s="103"/>
    </row>
    <row r="30" spans="1:10" ht="16.5" customHeight="1">
      <c r="A30" s="12"/>
      <c r="B30" s="12"/>
      <c r="C30" s="63" t="s">
        <v>148</v>
      </c>
      <c r="D30" s="444"/>
      <c r="E30" s="435"/>
      <c r="F30" s="436"/>
      <c r="G30" s="436"/>
      <c r="H30" s="436"/>
      <c r="I30" s="436">
        <f>SUM(I7:I29)</f>
        <v>0</v>
      </c>
      <c r="J30" s="12"/>
    </row>
    <row r="31" ht="21.75" customHeight="1"/>
    <row r="32" spans="1:10" ht="21.75" customHeight="1">
      <c r="A32" s="841" t="str">
        <f>'WORK SHEET'!AJ156</f>
        <v>RUPEES ZERO ONLY</v>
      </c>
      <c r="B32" s="841"/>
      <c r="C32" s="841"/>
      <c r="D32" s="841"/>
      <c r="E32" s="841"/>
      <c r="F32" s="841"/>
      <c r="G32" s="841"/>
      <c r="H32" s="841"/>
      <c r="I32" s="841"/>
      <c r="J32" s="841"/>
    </row>
    <row r="33" ht="21.75" customHeight="1"/>
    <row r="37" spans="6:10" ht="12.75">
      <c r="F37" s="616"/>
      <c r="G37" s="616"/>
      <c r="H37" s="616"/>
      <c r="I37" s="616"/>
      <c r="J37" s="616"/>
    </row>
    <row r="38" ht="21.75" customHeight="1"/>
    <row r="39" ht="21.75" customHeight="1"/>
    <row r="44" spans="6:10" ht="12.75">
      <c r="F44" s="616"/>
      <c r="G44" s="616"/>
      <c r="H44" s="616"/>
      <c r="I44" s="616"/>
      <c r="J44" s="616"/>
    </row>
  </sheetData>
  <sheetProtection password="E95C" sheet="1" objects="1" scenarios="1"/>
  <mergeCells count="9">
    <mergeCell ref="A1:J1"/>
    <mergeCell ref="A4:J4"/>
    <mergeCell ref="A2:J2"/>
    <mergeCell ref="F44:J44"/>
    <mergeCell ref="A3:D3"/>
    <mergeCell ref="E3:F3"/>
    <mergeCell ref="A5:J5"/>
    <mergeCell ref="A32:J32"/>
    <mergeCell ref="F37:J37"/>
  </mergeCells>
  <printOptions/>
  <pageMargins left="0.75" right="0.75" top="1" bottom="1" header="0.5" footer="0.5"/>
  <pageSetup horizontalDpi="600" verticalDpi="600" orientation="portrait" paperSize="5" r:id="rId1"/>
</worksheet>
</file>

<file path=xl/worksheets/sheet14.xml><?xml version="1.0" encoding="utf-8"?>
<worksheet xmlns="http://schemas.openxmlformats.org/spreadsheetml/2006/main" xmlns:r="http://schemas.openxmlformats.org/officeDocument/2006/relationships">
  <sheetPr codeName="Sheet14"/>
  <dimension ref="A1:N33"/>
  <sheetViews>
    <sheetView showGridLines="0" zoomScalePageLayoutView="0" workbookViewId="0" topLeftCell="C10">
      <selection activeCell="P8" sqref="P8"/>
    </sheetView>
  </sheetViews>
  <sheetFormatPr defaultColWidth="9.140625" defaultRowHeight="12.75"/>
  <cols>
    <col min="1" max="1" width="4.421875" style="0" customWidth="1"/>
    <col min="2" max="2" width="26.57421875" style="0" bestFit="1" customWidth="1"/>
    <col min="4" max="4" width="11.28125" style="0" customWidth="1"/>
    <col min="6" max="7" width="5.140625" style="0" customWidth="1"/>
    <col min="8" max="9" width="10.00390625" style="0" customWidth="1"/>
    <col min="10" max="10" width="9.7109375" style="0" customWidth="1"/>
    <col min="11" max="11" width="12.28125" style="0" customWidth="1"/>
    <col min="12" max="12" width="7.28125" style="0" customWidth="1"/>
    <col min="13" max="13" width="5.00390625" style="0" bestFit="1" customWidth="1"/>
    <col min="14" max="14" width="8.140625" style="0" customWidth="1"/>
  </cols>
  <sheetData>
    <row r="1" spans="1:14" ht="18">
      <c r="A1" s="919" t="s">
        <v>6</v>
      </c>
      <c r="B1" s="919"/>
      <c r="C1" s="919"/>
      <c r="D1" s="919"/>
      <c r="E1" s="919"/>
      <c r="F1" s="919"/>
      <c r="G1" s="919"/>
      <c r="H1" s="919"/>
      <c r="I1" s="919"/>
      <c r="J1" s="919"/>
      <c r="K1" s="919"/>
      <c r="L1" s="919"/>
      <c r="M1" s="919"/>
      <c r="N1" s="919"/>
    </row>
    <row r="2" spans="1:14" ht="12.75">
      <c r="A2" s="920" t="s">
        <v>7</v>
      </c>
      <c r="B2" s="920"/>
      <c r="C2" s="920"/>
      <c r="D2" s="920"/>
      <c r="E2" s="920"/>
      <c r="F2" s="920"/>
      <c r="G2" s="920"/>
      <c r="H2" s="920"/>
      <c r="I2" s="920"/>
      <c r="J2" s="920"/>
      <c r="K2" s="920"/>
      <c r="L2" s="920"/>
      <c r="M2" s="920"/>
      <c r="N2" s="920"/>
    </row>
    <row r="3" spans="1:14" ht="15.75">
      <c r="A3" s="747" t="s">
        <v>8</v>
      </c>
      <c r="B3" s="747"/>
      <c r="C3" s="747"/>
      <c r="D3" s="747"/>
      <c r="E3" s="747"/>
      <c r="F3" s="747"/>
      <c r="G3" s="747"/>
      <c r="H3" s="747"/>
      <c r="I3" s="747"/>
      <c r="J3" s="747"/>
      <c r="K3" s="747"/>
      <c r="L3" s="747"/>
      <c r="M3" s="747"/>
      <c r="N3" s="747"/>
    </row>
    <row r="4" ht="15">
      <c r="A4" s="143" t="s">
        <v>9</v>
      </c>
    </row>
    <row r="5" spans="1:14" s="9" customFormat="1" ht="68.25" customHeight="1">
      <c r="A5" s="921" t="s">
        <v>10</v>
      </c>
      <c r="B5" s="921"/>
      <c r="C5" s="921"/>
      <c r="D5" s="921"/>
      <c r="E5" s="921"/>
      <c r="F5" s="921"/>
      <c r="G5" s="921"/>
      <c r="H5" s="921"/>
      <c r="I5" s="921"/>
      <c r="J5" s="921"/>
      <c r="K5" s="921"/>
      <c r="L5" s="921"/>
      <c r="M5" s="921"/>
      <c r="N5" s="921"/>
    </row>
    <row r="6" spans="1:14" ht="105.75" customHeight="1">
      <c r="A6" s="922" t="s">
        <v>11</v>
      </c>
      <c r="B6" s="922" t="s">
        <v>12</v>
      </c>
      <c r="C6" s="924" t="s">
        <v>13</v>
      </c>
      <c r="D6" s="924" t="s">
        <v>14</v>
      </c>
      <c r="E6" s="924" t="s">
        <v>15</v>
      </c>
      <c r="F6" s="924" t="s">
        <v>16</v>
      </c>
      <c r="G6" s="924"/>
      <c r="H6" s="923" t="s">
        <v>17</v>
      </c>
      <c r="I6" s="923"/>
      <c r="J6" s="924" t="s">
        <v>18</v>
      </c>
      <c r="K6" s="922" t="s">
        <v>19</v>
      </c>
      <c r="L6" s="922" t="s">
        <v>20</v>
      </c>
      <c r="M6" s="924" t="s">
        <v>21</v>
      </c>
      <c r="N6" s="922" t="s">
        <v>22</v>
      </c>
    </row>
    <row r="7" spans="1:14" ht="25.5">
      <c r="A7" s="922"/>
      <c r="B7" s="922"/>
      <c r="C7" s="924"/>
      <c r="D7" s="924"/>
      <c r="E7" s="924"/>
      <c r="F7" s="10" t="s">
        <v>23</v>
      </c>
      <c r="G7" s="10" t="s">
        <v>24</v>
      </c>
      <c r="H7" s="10" t="s">
        <v>23</v>
      </c>
      <c r="I7" s="10" t="s">
        <v>24</v>
      </c>
      <c r="J7" s="924"/>
      <c r="K7" s="922"/>
      <c r="L7" s="922"/>
      <c r="M7" s="924"/>
      <c r="N7" s="922"/>
    </row>
    <row r="8" spans="1:14" s="8" customFormat="1" ht="12.75">
      <c r="A8" s="11">
        <v>1</v>
      </c>
      <c r="B8" s="11">
        <v>2</v>
      </c>
      <c r="C8" s="11">
        <v>3</v>
      </c>
      <c r="D8" s="11">
        <v>4</v>
      </c>
      <c r="E8" s="11">
        <v>5</v>
      </c>
      <c r="F8" s="11">
        <v>6</v>
      </c>
      <c r="G8" s="11">
        <v>7</v>
      </c>
      <c r="H8" s="11">
        <v>8</v>
      </c>
      <c r="I8" s="11">
        <v>9</v>
      </c>
      <c r="J8" s="11">
        <v>10</v>
      </c>
      <c r="K8" s="11">
        <v>11</v>
      </c>
      <c r="L8" s="11">
        <v>12</v>
      </c>
      <c r="M8" s="11">
        <v>13</v>
      </c>
      <c r="N8" s="11">
        <v>14</v>
      </c>
    </row>
    <row r="9" spans="1:14" s="8" customFormat="1" ht="12.75">
      <c r="A9" s="11"/>
      <c r="B9" s="11"/>
      <c r="C9" s="522"/>
      <c r="D9" s="522"/>
      <c r="E9" s="465"/>
      <c r="F9" s="465"/>
      <c r="G9" s="465"/>
      <c r="H9" s="465"/>
      <c r="I9" s="465"/>
      <c r="J9" s="524">
        <f>'WORK SHEET'!F109</f>
        <v>40210</v>
      </c>
      <c r="K9" s="465" t="str">
        <f>'WORK SHEET'!L109</f>
        <v>14860-39540</v>
      </c>
      <c r="L9" s="465">
        <f>'WORK SHEET'!I109</f>
        <v>11860</v>
      </c>
      <c r="M9" s="525">
        <f>N9-L9</f>
        <v>330</v>
      </c>
      <c r="N9" s="465">
        <f>'WORK SHEET'!H109</f>
        <v>12190</v>
      </c>
    </row>
    <row r="10" spans="1:14" ht="15" customHeight="1">
      <c r="A10" s="12">
        <v>1</v>
      </c>
      <c r="B10" s="244" t="str">
        <f>CONCATENATE('WORK SHEET'!E2," ",'WORK SHEET'!E55)</f>
        <v>P.BRAMHANANDA REDDY </v>
      </c>
      <c r="C10" s="516"/>
      <c r="D10" s="517"/>
      <c r="E10" s="447"/>
      <c r="F10" s="525"/>
      <c r="G10" s="525"/>
      <c r="H10" s="525"/>
      <c r="I10" s="525"/>
      <c r="J10" s="526">
        <f>PROCEEDINGS!B34</f>
        <v>40452</v>
      </c>
      <c r="K10" s="525" t="str">
        <f>PROCEEDINGS!F34</f>
        <v>14860-39540</v>
      </c>
      <c r="L10" s="525">
        <f>PROCEEDINGS!D34</f>
        <v>12190</v>
      </c>
      <c r="M10" s="525">
        <f>N10-L10</f>
        <v>360</v>
      </c>
      <c r="N10" s="525">
        <f>PROCEEDINGS!E34</f>
        <v>12550</v>
      </c>
    </row>
    <row r="11" spans="1:14" ht="15" customHeight="1">
      <c r="A11" s="12"/>
      <c r="B11" s="244" t="str">
        <f>'WORK SHEET'!E3</f>
        <v>MPPS,</v>
      </c>
      <c r="C11" s="518"/>
      <c r="D11" s="519"/>
      <c r="E11" s="525"/>
      <c r="F11" s="525"/>
      <c r="G11" s="525"/>
      <c r="H11" s="525"/>
      <c r="I11" s="525"/>
      <c r="J11" s="526">
        <f>PROCEEDINGS!B35</f>
        <v>40628.01</v>
      </c>
      <c r="K11" s="525" t="str">
        <f>PROCEEDINGS!F35</f>
        <v>14860-39540</v>
      </c>
      <c r="L11" s="525">
        <f>PROCEEDINGS!D35</f>
        <v>12550</v>
      </c>
      <c r="M11" s="525">
        <f>IF(L11=" "," ",N11-L11)</f>
        <v>360</v>
      </c>
      <c r="N11" s="525">
        <f>PROCEEDINGS!E35</f>
        <v>12910</v>
      </c>
    </row>
    <row r="12" spans="1:14" ht="15" customHeight="1">
      <c r="A12" s="12"/>
      <c r="B12" s="244" t="str">
        <f>'WORK SHEET'!E4</f>
        <v>CHAKRAYAPALEM</v>
      </c>
      <c r="C12" s="518"/>
      <c r="D12" s="519"/>
      <c r="E12" s="525"/>
      <c r="F12" s="525"/>
      <c r="G12" s="525"/>
      <c r="H12" s="525"/>
      <c r="I12" s="525"/>
      <c r="J12" s="526">
        <f>PROCEEDINGS!B36</f>
        <v>40817</v>
      </c>
      <c r="K12" s="525" t="str">
        <f>PROCEEDINGS!F36</f>
        <v>18030-43630</v>
      </c>
      <c r="L12" s="525">
        <f>PROCEEDINGS!D36</f>
        <v>12910</v>
      </c>
      <c r="M12" s="525">
        <f>IF(J12=" "," ",N12-L12)</f>
        <v>750</v>
      </c>
      <c r="N12" s="525">
        <f>PROCEEDINGS!E36</f>
        <v>13660</v>
      </c>
    </row>
    <row r="13" spans="1:14" ht="15" customHeight="1">
      <c r="A13" s="12"/>
      <c r="B13" s="244" t="str">
        <f>CONCATENATE('WORK SHEET'!E5," ","MANDAL")</f>
        <v>ADDANKI MANDAL</v>
      </c>
      <c r="C13" s="520"/>
      <c r="D13" s="521"/>
      <c r="E13" s="928" t="str">
        <f>CONCATENATE(PROCEEDINGS!H34,PROCEEDINGS!H35)</f>
        <v>PROMOTED AS H.M. WITH FR.22B ON</v>
      </c>
      <c r="F13" s="929"/>
      <c r="G13" s="929"/>
      <c r="H13" s="929"/>
      <c r="I13" s="929"/>
      <c r="J13" s="929"/>
      <c r="K13" s="930"/>
      <c r="L13" s="926">
        <f>PROCEEDINGS!H36</f>
        <v>40628.01</v>
      </c>
      <c r="M13" s="927"/>
      <c r="N13" s="525"/>
    </row>
    <row r="14" ht="15" customHeight="1"/>
    <row r="16" spans="10:13" ht="12.75">
      <c r="J16" s="616" t="str">
        <f>PROCEEDINGS!H43</f>
        <v>MANDAL EDUCATIONAL OFFICER</v>
      </c>
      <c r="K16" s="616"/>
      <c r="L16" s="616"/>
      <c r="M16" s="616"/>
    </row>
    <row r="17" spans="1:14" ht="12.75">
      <c r="A17" s="15"/>
      <c r="B17" s="15"/>
      <c r="C17" s="15"/>
      <c r="D17" s="15"/>
      <c r="E17" s="15"/>
      <c r="F17" s="15"/>
      <c r="G17" s="15"/>
      <c r="H17" s="15"/>
      <c r="I17" s="15"/>
      <c r="J17" s="925" t="str">
        <f>PROCEEDINGS!H44</f>
        <v>MANDAL PARASHAD </v>
      </c>
      <c r="K17" s="925"/>
      <c r="L17" s="925"/>
      <c r="M17" s="925"/>
      <c r="N17" s="15"/>
    </row>
    <row r="18" spans="1:14" ht="12.75">
      <c r="A18" s="15"/>
      <c r="B18" s="15"/>
      <c r="C18" s="15"/>
      <c r="D18" s="15"/>
      <c r="E18" s="15"/>
      <c r="F18" s="15"/>
      <c r="G18" s="15"/>
      <c r="H18" s="15"/>
      <c r="I18" s="15"/>
      <c r="J18" s="15"/>
      <c r="K18" s="16" t="str">
        <f>PROCEEDINGS!H45</f>
        <v>ADDANKI</v>
      </c>
      <c r="L18" s="15"/>
      <c r="M18" s="15"/>
      <c r="N18" s="15"/>
    </row>
    <row r="20" spans="1:14" ht="12.75">
      <c r="A20" s="101"/>
      <c r="B20" s="101"/>
      <c r="C20" s="101"/>
      <c r="D20" s="101"/>
      <c r="E20" s="101"/>
      <c r="F20" s="101"/>
      <c r="G20" s="101"/>
      <c r="H20" s="101"/>
      <c r="I20" s="101"/>
      <c r="J20" s="101"/>
      <c r="K20" s="101"/>
      <c r="L20" s="101"/>
      <c r="M20" s="101"/>
      <c r="N20" s="101"/>
    </row>
    <row r="21" spans="1:14" ht="12.75">
      <c r="A21" s="236"/>
      <c r="B21" s="236"/>
      <c r="C21" s="236"/>
      <c r="D21" s="236"/>
      <c r="E21" s="236"/>
      <c r="F21" s="236"/>
      <c r="G21" s="236"/>
      <c r="H21" s="236"/>
      <c r="I21" s="236"/>
      <c r="J21" s="236"/>
      <c r="K21" s="236"/>
      <c r="L21" s="236"/>
      <c r="M21" s="236"/>
      <c r="N21" s="236"/>
    </row>
    <row r="22" spans="2:14" ht="12.75">
      <c r="B22" s="3"/>
      <c r="C22" s="4"/>
      <c r="D22" s="4"/>
      <c r="E22" s="4"/>
      <c r="F22" s="4"/>
      <c r="G22" s="4"/>
      <c r="H22" s="4"/>
      <c r="I22" s="4"/>
      <c r="J22" s="4"/>
      <c r="K22" s="4"/>
      <c r="L22" s="4"/>
      <c r="M22" s="4"/>
      <c r="N22" s="4"/>
    </row>
    <row r="23" spans="4:8" ht="12.75">
      <c r="D23" s="17"/>
      <c r="H23" s="18"/>
    </row>
    <row r="24" spans="1:4" ht="12.75">
      <c r="A24" s="17"/>
      <c r="D24" s="19"/>
    </row>
    <row r="32" ht="12.75">
      <c r="K32" s="8"/>
    </row>
    <row r="33" ht="12.75">
      <c r="K33" s="16"/>
    </row>
  </sheetData>
  <sheetProtection password="E95C" sheet="1" objects="1" scenarios="1" selectLockedCells="1"/>
  <mergeCells count="20">
    <mergeCell ref="J17:M17"/>
    <mergeCell ref="B6:B7"/>
    <mergeCell ref="C6:C7"/>
    <mergeCell ref="D6:D7"/>
    <mergeCell ref="K6:K7"/>
    <mergeCell ref="L13:M13"/>
    <mergeCell ref="E13:K13"/>
    <mergeCell ref="J16:M16"/>
    <mergeCell ref="N6:N7"/>
    <mergeCell ref="H6:I6"/>
    <mergeCell ref="A6:A7"/>
    <mergeCell ref="M6:M7"/>
    <mergeCell ref="E6:E7"/>
    <mergeCell ref="J6:J7"/>
    <mergeCell ref="F6:G6"/>
    <mergeCell ref="L6:L7"/>
    <mergeCell ref="A1:N1"/>
    <mergeCell ref="A2:N2"/>
    <mergeCell ref="A3:N3"/>
    <mergeCell ref="A5:N5"/>
  </mergeCells>
  <printOptions horizontalCentered="1"/>
  <pageMargins left="0.45" right="0.61" top="0.41" bottom="1" header="0.31" footer="0.5"/>
  <pageSetup horizontalDpi="300" verticalDpi="300" orientation="landscape" paperSize="5" scale="123" r:id="rId1"/>
</worksheet>
</file>

<file path=xl/worksheets/sheet15.xml><?xml version="1.0" encoding="utf-8"?>
<worksheet xmlns="http://schemas.openxmlformats.org/spreadsheetml/2006/main" xmlns:r="http://schemas.openxmlformats.org/officeDocument/2006/relationships">
  <sheetPr codeName="Sheet15"/>
  <dimension ref="A1:N20"/>
  <sheetViews>
    <sheetView showGridLines="0" zoomScalePageLayoutView="0" workbookViewId="0" topLeftCell="A13">
      <selection activeCell="Q14" sqref="Q14"/>
    </sheetView>
  </sheetViews>
  <sheetFormatPr defaultColWidth="9.140625" defaultRowHeight="12.75"/>
  <cols>
    <col min="1" max="1" width="6.28125" style="0" customWidth="1"/>
    <col min="2" max="2" width="13.28125" style="0" customWidth="1"/>
    <col min="3" max="3" width="10.8515625" style="0" customWidth="1"/>
    <col min="7" max="7" width="5.7109375" style="0" customWidth="1"/>
    <col min="9" max="9" width="5.140625" style="0" customWidth="1"/>
    <col min="10" max="10" width="16.140625" style="0" customWidth="1"/>
    <col min="12" max="12" width="13.7109375" style="0" customWidth="1"/>
    <col min="14" max="14" width="9.421875" style="0" customWidth="1"/>
  </cols>
  <sheetData>
    <row r="1" spans="1:14" ht="87.75" customHeight="1">
      <c r="A1" s="6" t="s">
        <v>25</v>
      </c>
      <c r="B1" s="931" t="s">
        <v>26</v>
      </c>
      <c r="C1" s="931"/>
      <c r="D1" s="931"/>
      <c r="E1" s="931"/>
      <c r="F1" s="931"/>
      <c r="G1" s="931"/>
      <c r="H1" s="931"/>
      <c r="I1" s="931"/>
      <c r="J1" s="931"/>
      <c r="K1" s="931"/>
      <c r="L1" s="931"/>
      <c r="M1" s="931"/>
      <c r="N1" s="314"/>
    </row>
    <row r="2" spans="1:14" ht="12" customHeight="1">
      <c r="A2" s="6"/>
      <c r="B2" s="233"/>
      <c r="C2" s="233"/>
      <c r="D2" s="233"/>
      <c r="E2" s="233"/>
      <c r="F2" s="233"/>
      <c r="G2" s="233"/>
      <c r="H2" s="233"/>
      <c r="I2" s="233"/>
      <c r="J2" s="233"/>
      <c r="K2" s="233"/>
      <c r="L2" s="233"/>
      <c r="M2" s="233"/>
      <c r="N2" s="233"/>
    </row>
    <row r="3" spans="1:14" ht="12" customHeight="1">
      <c r="A3" s="6"/>
      <c r="B3" s="233"/>
      <c r="C3" s="233"/>
      <c r="D3" s="233"/>
      <c r="E3" s="233"/>
      <c r="F3" s="233"/>
      <c r="G3" s="233"/>
      <c r="H3" s="233"/>
      <c r="I3" s="233"/>
      <c r="J3" s="233"/>
      <c r="K3" s="233"/>
      <c r="L3" s="233"/>
      <c r="M3" s="233"/>
      <c r="N3" s="233"/>
    </row>
    <row r="4" spans="1:14" ht="15.75">
      <c r="A4" s="747" t="s">
        <v>27</v>
      </c>
      <c r="B4" s="747"/>
      <c r="C4" s="747"/>
      <c r="D4" s="747"/>
      <c r="E4" s="747"/>
      <c r="F4" s="747"/>
      <c r="G4" s="747"/>
      <c r="H4" s="747"/>
      <c r="I4" s="747"/>
      <c r="J4" s="747"/>
      <c r="K4" s="747"/>
      <c r="L4" s="747"/>
      <c r="M4" s="747"/>
      <c r="N4" s="747"/>
    </row>
    <row r="5" spans="1:14" ht="6.75" customHeight="1">
      <c r="A5" s="115"/>
      <c r="B5" s="115"/>
      <c r="C5" s="115"/>
      <c r="D5" s="115"/>
      <c r="E5" s="115"/>
      <c r="F5" s="115"/>
      <c r="G5" s="115"/>
      <c r="H5" s="115"/>
      <c r="I5" s="115"/>
      <c r="J5" s="115"/>
      <c r="K5" s="115"/>
      <c r="L5" s="115"/>
      <c r="M5" s="115"/>
      <c r="N5" s="115"/>
    </row>
    <row r="6" spans="1:14" ht="12.75">
      <c r="A6" s="920" t="s">
        <v>28</v>
      </c>
      <c r="B6" s="920"/>
      <c r="C6" s="920"/>
      <c r="D6" s="920"/>
      <c r="E6" s="920"/>
      <c r="F6" s="920"/>
      <c r="G6" s="920"/>
      <c r="H6" s="920"/>
      <c r="I6" s="920"/>
      <c r="J6" s="920"/>
      <c r="K6" s="920"/>
      <c r="L6" s="920"/>
      <c r="M6" s="920"/>
      <c r="N6" s="920"/>
    </row>
    <row r="7" spans="1:14" ht="12.75">
      <c r="A7" s="232"/>
      <c r="B7" s="232"/>
      <c r="C7" s="232"/>
      <c r="D7" s="232"/>
      <c r="E7" s="232"/>
      <c r="F7" s="232"/>
      <c r="G7" s="232"/>
      <c r="H7" s="232"/>
      <c r="I7" s="232"/>
      <c r="J7" s="232"/>
      <c r="K7" s="232"/>
      <c r="L7" s="232"/>
      <c r="M7" s="232"/>
      <c r="N7" s="232"/>
    </row>
    <row r="8" spans="2:14" ht="12.75">
      <c r="B8" s="3"/>
      <c r="C8" s="3" t="s">
        <v>29</v>
      </c>
      <c r="D8" s="4" t="str">
        <f>PREAMBLE!D3</f>
        <v>P.BRAMHANANDA REDDY, , MPPS,, CHAKRAYAPALEM, ADDANKI MANDAL</v>
      </c>
      <c r="E8" s="4"/>
      <c r="F8" s="4"/>
      <c r="G8" s="4"/>
      <c r="H8" s="4"/>
      <c r="I8" s="4"/>
      <c r="J8" s="4"/>
      <c r="K8" s="4"/>
      <c r="L8" s="4"/>
      <c r="M8" s="4"/>
      <c r="N8" s="4"/>
    </row>
    <row r="9" spans="1:10" ht="15">
      <c r="A9" t="s">
        <v>30</v>
      </c>
      <c r="C9" s="142">
        <f>MAX('49-(1P)'!N9:N12)</f>
        <v>13660</v>
      </c>
      <c r="D9" s="17" t="s">
        <v>31</v>
      </c>
      <c r="H9" s="143" t="str">
        <f>'WORK SHEET'!E11</f>
        <v>L2105625D</v>
      </c>
      <c r="I9" s="151"/>
      <c r="J9" t="s">
        <v>32</v>
      </c>
    </row>
    <row r="10" spans="1:6" ht="15">
      <c r="A10" s="17" t="s">
        <v>33</v>
      </c>
      <c r="E10" s="142">
        <f>'WORK SHEET'!E12</f>
        <v>450</v>
      </c>
      <c r="F10" t="s">
        <v>34</v>
      </c>
    </row>
    <row r="11" ht="12.75">
      <c r="A11" t="s">
        <v>35</v>
      </c>
    </row>
    <row r="12" ht="12.75">
      <c r="A12" t="s">
        <v>36</v>
      </c>
    </row>
    <row r="14" spans="3:13" ht="12.75">
      <c r="C14" t="s">
        <v>453</v>
      </c>
      <c r="F14" s="932" t="str">
        <f>IF('WORK SHEET'!E122=1,PROCEEDINGS!H18," ")</f>
        <v> </v>
      </c>
      <c r="G14" s="932"/>
      <c r="H14" s="932"/>
      <c r="I14" s="932"/>
      <c r="J14" s="932"/>
      <c r="K14" s="932"/>
      <c r="L14" s="932"/>
      <c r="M14" s="932"/>
    </row>
    <row r="15" spans="1:13" ht="12.75">
      <c r="A15" s="4" t="s">
        <v>452</v>
      </c>
      <c r="B15" s="4"/>
      <c r="C15" s="4"/>
      <c r="D15" s="4"/>
      <c r="E15" s="4"/>
      <c r="F15" s="4"/>
      <c r="G15" s="4"/>
      <c r="H15" s="4"/>
      <c r="I15" s="4"/>
      <c r="J15" s="4"/>
      <c r="K15" s="94"/>
      <c r="L15" s="94"/>
      <c r="M15" s="94"/>
    </row>
    <row r="18" spans="11:12" ht="12.75">
      <c r="K18" s="8" t="str">
        <f>'49-(1P)'!J16</f>
        <v>MANDAL EDUCATIONAL OFFICER</v>
      </c>
      <c r="L18" s="101"/>
    </row>
    <row r="19" spans="11:13" ht="12.75">
      <c r="K19" s="16" t="str">
        <f>'49-(1P)'!J17</f>
        <v>MANDAL PARASHAD </v>
      </c>
      <c r="L19" s="322"/>
      <c r="M19" s="322"/>
    </row>
    <row r="20" ht="12.75">
      <c r="K20" s="8" t="str">
        <f>'49-(1P)'!K18</f>
        <v>ADDANKI</v>
      </c>
    </row>
  </sheetData>
  <sheetProtection password="E95C" sheet="1" objects="1" scenarios="1" selectLockedCells="1"/>
  <mergeCells count="4">
    <mergeCell ref="B1:M1"/>
    <mergeCell ref="A4:N4"/>
    <mergeCell ref="A6:N6"/>
    <mergeCell ref="F14:M14"/>
  </mergeCells>
  <printOptions horizontalCentered="1"/>
  <pageMargins left="0.59" right="0.33" top="0.72" bottom="1" header="0.5" footer="0.5"/>
  <pageSetup horizontalDpi="300" verticalDpi="300" orientation="landscape" paperSize="5" scale="125" r:id="rId1"/>
</worksheet>
</file>

<file path=xl/worksheets/sheet16.xml><?xml version="1.0" encoding="utf-8"?>
<worksheet xmlns="http://schemas.openxmlformats.org/spreadsheetml/2006/main" xmlns:r="http://schemas.openxmlformats.org/officeDocument/2006/relationships">
  <sheetPr codeName="Sheet16"/>
  <dimension ref="A1:P28"/>
  <sheetViews>
    <sheetView showGridLines="0" zoomScalePageLayoutView="0" workbookViewId="0" topLeftCell="A1">
      <selection activeCell="F19" sqref="F19"/>
    </sheetView>
  </sheetViews>
  <sheetFormatPr defaultColWidth="9.140625" defaultRowHeight="12.75"/>
  <cols>
    <col min="1" max="1" width="4.00390625" style="0" customWidth="1"/>
    <col min="2" max="2" width="6.57421875" style="0" customWidth="1"/>
    <col min="3" max="3" width="10.7109375" style="0" customWidth="1"/>
    <col min="4" max="4" width="11.140625" style="0" customWidth="1"/>
    <col min="5" max="5" width="10.57421875" style="0" customWidth="1"/>
    <col min="6" max="6" width="4.7109375" style="0" bestFit="1" customWidth="1"/>
    <col min="7" max="7" width="10.28125" style="0" customWidth="1"/>
    <col min="8" max="8" width="13.8515625" style="0" customWidth="1"/>
    <col min="9" max="9" width="2.00390625" style="0" customWidth="1"/>
    <col min="10" max="10" width="6.00390625" style="0" bestFit="1" customWidth="1"/>
    <col min="11" max="11" width="7.28125" style="0" bestFit="1" customWidth="1"/>
    <col min="12" max="12" width="3.00390625" style="0" customWidth="1"/>
    <col min="13" max="14" width="10.140625" style="0" bestFit="1" customWidth="1"/>
    <col min="15" max="15" width="5.57421875" style="0" bestFit="1" customWidth="1"/>
    <col min="16" max="16" width="3.7109375" style="0" customWidth="1"/>
    <col min="17" max="17" width="7.140625" style="0" customWidth="1"/>
  </cols>
  <sheetData>
    <row r="1" spans="1:16" ht="23.25">
      <c r="A1" s="933" t="s">
        <v>47</v>
      </c>
      <c r="B1" s="933"/>
      <c r="C1" s="933"/>
      <c r="D1" s="933"/>
      <c r="E1" s="933"/>
      <c r="F1" s="933"/>
      <c r="G1" s="933"/>
      <c r="H1" s="933"/>
      <c r="I1" s="933"/>
      <c r="J1" s="933"/>
      <c r="K1" s="933"/>
      <c r="L1" s="933"/>
      <c r="M1" s="933"/>
      <c r="N1" s="933"/>
      <c r="O1" s="933"/>
      <c r="P1" s="933"/>
    </row>
    <row r="3" spans="3:4" ht="12.75">
      <c r="C3" s="4" t="s">
        <v>48</v>
      </c>
      <c r="D3" t="str">
        <f>CONCATENATE('WORK SHEET'!E2,", ",'WORK SHEET'!E55,", ",'WORK SHEET'!E3,", ",'WORK SHEET'!E4,", ",'WORK SHEET'!E5," ","MANDAL",)</f>
        <v>P.BRAMHANANDA REDDY, , MPPS,, CHAKRAYAPALEM, ADDANKI MANDAL</v>
      </c>
    </row>
    <row r="4" spans="1:15" ht="12.75">
      <c r="A4" t="s">
        <v>461</v>
      </c>
      <c r="H4" s="159" t="e">
        <f>#REF!</f>
        <v>#REF!</v>
      </c>
      <c r="I4" s="159" t="e">
        <f>#REF!</f>
        <v>#REF!</v>
      </c>
      <c r="J4" s="325"/>
      <c r="K4" s="325"/>
      <c r="L4" t="str">
        <f>CONCATENATE("He/She was drawning existing pay")</f>
        <v>He/She was drawning existing pay</v>
      </c>
      <c r="O4" s="20"/>
    </row>
    <row r="5" spans="1:15" ht="12.75">
      <c r="A5" t="e">
        <f>CONCATENATE("Rs.",#REF!)</f>
        <v>#REF!</v>
      </c>
      <c r="B5" s="8"/>
      <c r="C5" t="e">
        <f>CONCATENATE("in the time scale of ",#REF!,CONCATENATE(" in the cadre of ",#REF!," his/her pay fixed at Rs.",#REF!," in the time scale of ",#REF!))</f>
        <v>#REF!</v>
      </c>
      <c r="K5" s="20"/>
      <c r="O5" s="17"/>
    </row>
    <row r="6" spans="1:16" ht="12.75">
      <c r="A6" t="e">
        <f>CONCATENATE("and released periodical increments raising pay from Rs.",#REF!," to ",#REF!,#REF!," in the time scale",PROCEEDINGS!#REF!," with effect from")</f>
        <v>#REF!</v>
      </c>
      <c r="N6" s="159" t="e">
        <f>PROCEEDINGS!#REF!</f>
        <v>#REF!</v>
      </c>
      <c r="P6" s="2"/>
    </row>
    <row r="7" spans="1:14" ht="12.75">
      <c r="A7" t="e">
        <f>CONCATENATE("and released periodical increments raising pay from Rs.",#REF!," to ",#REF!,#REF!," in the time scale",PROCEEDINGS!#REF!," with effect from")</f>
        <v>#REF!</v>
      </c>
      <c r="D7" s="4"/>
      <c r="G7" s="111"/>
      <c r="N7" s="159" t="e">
        <f>PROCEEDINGS!#REF!</f>
        <v>#REF!</v>
      </c>
    </row>
    <row r="8" spans="1:16" ht="12.75">
      <c r="A8" t="e">
        <f>CONCATENATE("and released periodical increments raising pay from Rs.",#REF!,#REF!," to ",#REF!," in the time scale",PROCEEDINGS!#REF!," with effect from")</f>
        <v>#REF!</v>
      </c>
      <c r="D8" s="4"/>
      <c r="G8" s="111"/>
      <c r="N8" s="159" t="e">
        <f>PROCEEDINGS!#REF!</f>
        <v>#REF!</v>
      </c>
      <c r="P8" s="111"/>
    </row>
    <row r="9" spans="1:13" ht="12.75">
      <c r="A9">
        <f>'49-(1P)'!K13</f>
        <v>0</v>
      </c>
      <c r="G9" s="111">
        <f>'49-(1P)'!L13</f>
        <v>40628.01</v>
      </c>
      <c r="H9" t="str">
        <f>IF('WORK SHEET'!D81=9,CONCATENATE(", as he promoted to ",'WORK SHEET'!E45," ","on ")," ")</f>
        <v> </v>
      </c>
      <c r="M9" s="313" t="str">
        <f>IF(H9=" "," ",'WORK SHEET'!E139)</f>
        <v> </v>
      </c>
    </row>
    <row r="10" spans="1:16" ht="12.75">
      <c r="A10" s="934"/>
      <c r="B10" s="934"/>
      <c r="C10" s="934"/>
      <c r="D10" s="934"/>
      <c r="E10" s="934"/>
      <c r="F10" s="934"/>
      <c r="G10" s="934"/>
      <c r="H10" s="934"/>
      <c r="I10" s="934"/>
      <c r="J10" s="934"/>
      <c r="K10" s="934"/>
      <c r="L10" s="934"/>
      <c r="M10" s="934"/>
      <c r="N10" s="934"/>
      <c r="O10" s="934"/>
      <c r="P10" s="934"/>
    </row>
    <row r="11" ht="12.75">
      <c r="G11" s="111"/>
    </row>
    <row r="12" ht="12.75">
      <c r="A12" t="s">
        <v>432</v>
      </c>
    </row>
    <row r="13" ht="12.75">
      <c r="A13" t="s">
        <v>460</v>
      </c>
    </row>
    <row r="14" ht="12.75">
      <c r="A14" t="s">
        <v>433</v>
      </c>
    </row>
    <row r="15" spans="1:5" ht="12.75">
      <c r="A15" t="str">
        <f>CONCATENATE(" Rc.No.",PROCEEDINGS!C4," dated ")</f>
        <v> Rc.No.2/AAS/2011 dated </v>
      </c>
      <c r="D15" s="111">
        <f>'WORK SHEET'!E15</f>
        <v>40801</v>
      </c>
      <c r="E15" t="str">
        <f>CONCATENATE("of the ",K26,", ",K27,",",K28)</f>
        <v>of the MANDAL EDUCATIONAL OFFICER, MANDAL PARASHAD ,ADDANKI</v>
      </c>
    </row>
    <row r="16" ht="12.75">
      <c r="D16" s="2"/>
    </row>
    <row r="17" spans="1:16" ht="12.75">
      <c r="A17" s="935" t="s">
        <v>49</v>
      </c>
      <c r="B17" s="935"/>
      <c r="C17" s="935"/>
      <c r="D17" s="935"/>
      <c r="E17" s="935"/>
      <c r="F17" s="935"/>
      <c r="G17" s="935" t="s">
        <v>322</v>
      </c>
      <c r="H17" s="935"/>
      <c r="I17" s="935"/>
      <c r="J17" s="935"/>
      <c r="K17" s="935"/>
      <c r="L17" s="935"/>
      <c r="M17" s="935"/>
      <c r="N17" s="935"/>
      <c r="O17" s="935"/>
      <c r="P17" s="935"/>
    </row>
    <row r="19" spans="1:14" ht="18" customHeight="1">
      <c r="A19" s="20" t="s">
        <v>2</v>
      </c>
      <c r="B19" t="s">
        <v>210</v>
      </c>
      <c r="E19" s="22">
        <v>42.39</v>
      </c>
      <c r="F19" t="s">
        <v>50</v>
      </c>
      <c r="H19" s="23" t="s">
        <v>2</v>
      </c>
      <c r="I19" t="s">
        <v>210</v>
      </c>
      <c r="N19" s="23" t="s">
        <v>51</v>
      </c>
    </row>
    <row r="20" spans="1:15" ht="18" customHeight="1">
      <c r="A20" s="20" t="s">
        <v>4</v>
      </c>
      <c r="B20" t="s">
        <v>211</v>
      </c>
      <c r="E20">
        <v>51.81</v>
      </c>
      <c r="F20" t="s">
        <v>50</v>
      </c>
      <c r="H20" s="23" t="s">
        <v>4</v>
      </c>
      <c r="I20" t="s">
        <v>211</v>
      </c>
      <c r="N20" s="24">
        <v>5.136</v>
      </c>
      <c r="O20" t="s">
        <v>50</v>
      </c>
    </row>
    <row r="21" spans="1:15" ht="18" customHeight="1">
      <c r="A21" s="20" t="s">
        <v>5</v>
      </c>
      <c r="B21" t="s">
        <v>212</v>
      </c>
      <c r="E21">
        <v>60.288</v>
      </c>
      <c r="F21" t="s">
        <v>50</v>
      </c>
      <c r="H21" s="23" t="s">
        <v>5</v>
      </c>
      <c r="I21" t="s">
        <v>212</v>
      </c>
      <c r="N21" s="24">
        <v>9.416</v>
      </c>
      <c r="O21" t="s">
        <v>50</v>
      </c>
    </row>
    <row r="22" spans="1:14" ht="12.75">
      <c r="A22" s="20"/>
      <c r="E22" s="24"/>
      <c r="H22" s="23"/>
      <c r="N22" s="24"/>
    </row>
    <row r="26" ht="12.75">
      <c r="K26" s="8" t="str">
        <f>'49-(1P)'!J16</f>
        <v>MANDAL EDUCATIONAL OFFICER</v>
      </c>
    </row>
    <row r="27" ht="12.75">
      <c r="K27" s="8" t="str">
        <f>'49-(1P)'!J17</f>
        <v>MANDAL PARASHAD </v>
      </c>
    </row>
    <row r="28" ht="12.75">
      <c r="K28" s="8" t="str">
        <f>'49-(1P)'!K18</f>
        <v>ADDANKI</v>
      </c>
    </row>
  </sheetData>
  <sheetProtection password="E95C" sheet="1" objects="1" scenarios="1" selectLockedCells="1"/>
  <mergeCells count="4">
    <mergeCell ref="A1:P1"/>
    <mergeCell ref="A10:P10"/>
    <mergeCell ref="A17:F17"/>
    <mergeCell ref="G17:P17"/>
  </mergeCells>
  <printOptions horizontalCentered="1"/>
  <pageMargins left="0.77" right="0.54" top="0.39" bottom="1" header="0.34" footer="0.5"/>
  <pageSetup horizontalDpi="300" verticalDpi="300" orientation="landscape" paperSize="5" scale="128" r:id="rId1"/>
</worksheet>
</file>

<file path=xl/worksheets/sheet17.xml><?xml version="1.0" encoding="utf-8"?>
<worksheet xmlns="http://schemas.openxmlformats.org/spreadsheetml/2006/main" xmlns:r="http://schemas.openxmlformats.org/officeDocument/2006/relationships">
  <sheetPr codeName="Sheet17"/>
  <dimension ref="E12:E12"/>
  <sheetViews>
    <sheetView zoomScalePageLayoutView="0" workbookViewId="0" topLeftCell="A1">
      <selection activeCell="F23" sqref="F23"/>
    </sheetView>
  </sheetViews>
  <sheetFormatPr defaultColWidth="9.140625" defaultRowHeight="12.75"/>
  <sheetData>
    <row r="12" ht="12.75">
      <c r="E12" s="527"/>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A966"/>
  <sheetViews>
    <sheetView zoomScale="115" zoomScaleNormal="115" zoomScalePageLayoutView="0" workbookViewId="0" topLeftCell="A26">
      <selection activeCell="E47" sqref="E47"/>
    </sheetView>
  </sheetViews>
  <sheetFormatPr defaultColWidth="9.140625" defaultRowHeight="12.75"/>
  <cols>
    <col min="1" max="1" width="7.00390625" style="0" customWidth="1"/>
    <col min="2" max="2" width="4.140625" style="0" customWidth="1"/>
    <col min="3" max="3" width="46.00390625" style="0" customWidth="1"/>
    <col min="4" max="4" width="5.00390625" style="0" customWidth="1"/>
    <col min="5" max="5" width="12.421875" style="0" customWidth="1"/>
    <col min="6" max="6" width="13.140625" style="0" customWidth="1"/>
    <col min="7" max="7" width="12.421875" style="0" customWidth="1"/>
    <col min="9" max="9" width="10.140625" style="0" customWidth="1"/>
    <col min="10" max="10" width="5.421875" style="0" customWidth="1"/>
    <col min="11" max="11" width="6.8515625" style="0" customWidth="1"/>
    <col min="12" max="12" width="5.00390625" style="0" customWidth="1"/>
    <col min="13" max="13" width="4.7109375" style="0" customWidth="1"/>
    <col min="14" max="14" width="9.28125" style="0" customWidth="1"/>
    <col min="15" max="15" width="11.8515625" style="0" customWidth="1"/>
    <col min="16" max="16" width="6.421875" style="0" customWidth="1"/>
    <col min="17" max="17" width="12.8515625" style="0" customWidth="1"/>
    <col min="18" max="18" width="8.00390625" style="0" customWidth="1"/>
    <col min="19" max="19" width="7.28125" style="0" customWidth="1"/>
    <col min="20" max="20" width="9.57421875" style="0" customWidth="1"/>
    <col min="21" max="21" width="10.421875" style="0" customWidth="1"/>
    <col min="22" max="22" width="11.28125" style="0" customWidth="1"/>
    <col min="23" max="23" width="10.421875" style="0" customWidth="1"/>
    <col min="24" max="24" width="13.140625" style="0" customWidth="1"/>
    <col min="25" max="25" width="7.8515625" style="0" customWidth="1"/>
    <col min="26" max="26" width="8.7109375" style="0" customWidth="1"/>
    <col min="27" max="27" width="8.8515625" style="0" customWidth="1"/>
    <col min="28" max="28" width="9.28125" style="0" customWidth="1"/>
    <col min="29" max="29" width="6.57421875" style="0" customWidth="1"/>
    <col min="30" max="30" width="8.421875" style="0" customWidth="1"/>
    <col min="31" max="31" width="10.421875" style="0" customWidth="1"/>
    <col min="32" max="32" width="9.421875" style="0" bestFit="1" customWidth="1"/>
    <col min="34" max="34" width="11.421875" style="0" customWidth="1"/>
    <col min="35" max="35" width="12.00390625" style="0" customWidth="1"/>
    <col min="36" max="36" width="9.421875" style="0" bestFit="1" customWidth="1"/>
    <col min="40" max="40" width="9.421875" style="0" bestFit="1" customWidth="1"/>
    <col min="43" max="43" width="11.28125" style="0" customWidth="1"/>
    <col min="45" max="45" width="2.28125" style="0" customWidth="1"/>
    <col min="46" max="46" width="3.7109375" style="0" customWidth="1"/>
    <col min="47" max="47" width="16.00390625" style="0" customWidth="1"/>
    <col min="48" max="48" width="3.140625" style="0" customWidth="1"/>
    <col min="49" max="49" width="2.8515625" style="0" customWidth="1"/>
    <col min="50" max="50" width="14.421875" style="0" customWidth="1"/>
    <col min="51" max="51" width="13.57421875" style="0" customWidth="1"/>
    <col min="52" max="52" width="17.140625" style="0" customWidth="1"/>
    <col min="53" max="53" width="9.8515625" style="0" bestFit="1" customWidth="1"/>
    <col min="54" max="56" width="9.57421875" style="0" bestFit="1" customWidth="1"/>
    <col min="57" max="60" width="9.28125" style="0" bestFit="1" customWidth="1"/>
    <col min="62" max="62" width="9.7109375" style="0" customWidth="1"/>
    <col min="63" max="63" width="10.140625" style="0" customWidth="1"/>
    <col min="69" max="87" width="9.28125" style="0" bestFit="1" customWidth="1"/>
    <col min="88" max="95" width="9.28125" style="0" customWidth="1"/>
    <col min="96" max="96" width="9.421875" style="0" bestFit="1" customWidth="1"/>
    <col min="97" max="126" width="9.28125" style="0" bestFit="1" customWidth="1"/>
  </cols>
  <sheetData>
    <row r="1" spans="1:131" s="321" customFormat="1" ht="30.75" customHeight="1" thickBot="1">
      <c r="A1" s="588" t="s">
        <v>408</v>
      </c>
      <c r="B1" s="589"/>
      <c r="C1" s="589"/>
      <c r="D1" s="589"/>
      <c r="E1" s="589"/>
      <c r="F1" s="589"/>
      <c r="G1" s="589"/>
      <c r="H1" s="424"/>
      <c r="I1" s="424"/>
      <c r="J1" s="424"/>
      <c r="K1" s="424"/>
      <c r="L1" s="424"/>
      <c r="M1" s="424"/>
      <c r="N1" s="424"/>
      <c r="O1" s="424"/>
      <c r="P1" s="424"/>
      <c r="Q1" s="424"/>
      <c r="R1" s="299"/>
      <c r="S1" s="299"/>
      <c r="T1" s="299"/>
      <c r="DZ1" s="324"/>
      <c r="EA1" s="324"/>
    </row>
    <row r="2" spans="1:131" ht="17.25" customHeight="1">
      <c r="A2" s="584" t="s">
        <v>407</v>
      </c>
      <c r="B2" s="601" t="s">
        <v>152</v>
      </c>
      <c r="C2" s="601"/>
      <c r="D2" s="113" t="s">
        <v>3</v>
      </c>
      <c r="E2" s="631" t="s">
        <v>713</v>
      </c>
      <c r="F2" s="632"/>
      <c r="G2" s="633"/>
      <c r="H2" s="606" t="s">
        <v>557</v>
      </c>
      <c r="I2" s="606"/>
      <c r="J2" s="606"/>
      <c r="K2" s="400"/>
      <c r="L2" s="401"/>
      <c r="M2" s="402"/>
      <c r="N2" s="402"/>
      <c r="O2" s="402"/>
      <c r="P2" s="402"/>
      <c r="Q2" s="391"/>
      <c r="R2" s="391"/>
      <c r="S2" s="391"/>
      <c r="T2" s="146"/>
      <c r="U2" s="107"/>
      <c r="V2" s="107"/>
      <c r="W2" s="107"/>
      <c r="X2" s="107"/>
      <c r="DZ2" s="324"/>
      <c r="EA2" s="324"/>
    </row>
    <row r="3" spans="1:24" ht="17.25" customHeight="1">
      <c r="A3" s="583"/>
      <c r="B3" s="585" t="s">
        <v>153</v>
      </c>
      <c r="C3" s="585"/>
      <c r="D3" s="113" t="s">
        <v>3</v>
      </c>
      <c r="E3" s="631" t="s">
        <v>714</v>
      </c>
      <c r="F3" s="632"/>
      <c r="G3" s="633"/>
      <c r="H3" s="606"/>
      <c r="I3" s="606"/>
      <c r="J3" s="606"/>
      <c r="K3" s="400"/>
      <c r="L3" s="403"/>
      <c r="M3" s="402"/>
      <c r="N3" s="402"/>
      <c r="O3" s="402"/>
      <c r="P3" s="402"/>
      <c r="Q3" s="391"/>
      <c r="R3" s="391"/>
      <c r="S3" s="391"/>
      <c r="T3" s="146"/>
      <c r="U3" s="107"/>
      <c r="V3" s="107"/>
      <c r="W3" s="107"/>
      <c r="X3" s="107"/>
    </row>
    <row r="4" spans="1:24" ht="17.25" customHeight="1">
      <c r="A4" s="583"/>
      <c r="B4" s="601" t="s">
        <v>424</v>
      </c>
      <c r="C4" s="601"/>
      <c r="D4" s="113" t="s">
        <v>3</v>
      </c>
      <c r="E4" s="631" t="s">
        <v>160</v>
      </c>
      <c r="F4" s="632"/>
      <c r="G4" s="633"/>
      <c r="H4" s="606"/>
      <c r="I4" s="606"/>
      <c r="J4" s="606"/>
      <c r="K4" s="400"/>
      <c r="L4" s="403"/>
      <c r="M4" s="402"/>
      <c r="N4" s="402"/>
      <c r="O4" s="402"/>
      <c r="P4" s="402"/>
      <c r="Q4" s="391"/>
      <c r="R4" s="392"/>
      <c r="S4" s="391"/>
      <c r="T4" s="146"/>
      <c r="U4" s="107"/>
      <c r="V4" s="107"/>
      <c r="W4" s="107"/>
      <c r="X4" s="107"/>
    </row>
    <row r="5" spans="1:24" ht="17.25" customHeight="1">
      <c r="A5" s="583"/>
      <c r="B5" s="600" t="s">
        <v>154</v>
      </c>
      <c r="C5" s="600"/>
      <c r="D5" s="113" t="s">
        <v>3</v>
      </c>
      <c r="E5" s="631" t="s">
        <v>577</v>
      </c>
      <c r="F5" s="632"/>
      <c r="G5" s="633"/>
      <c r="H5" s="606"/>
      <c r="I5" s="606"/>
      <c r="J5" s="606"/>
      <c r="K5" s="400"/>
      <c r="L5" s="403"/>
      <c r="M5" s="402"/>
      <c r="N5" s="402"/>
      <c r="O5" s="402"/>
      <c r="P5" s="402"/>
      <c r="Q5" s="391"/>
      <c r="R5" s="391"/>
      <c r="S5" s="391"/>
      <c r="T5" s="146"/>
      <c r="U5" s="107"/>
      <c r="V5" s="107"/>
      <c r="W5" s="107"/>
      <c r="X5" s="107"/>
    </row>
    <row r="6" spans="1:24" ht="17.25" customHeight="1">
      <c r="A6" s="583"/>
      <c r="B6" s="601" t="s">
        <v>155</v>
      </c>
      <c r="C6" s="601"/>
      <c r="D6" s="113" t="s">
        <v>3</v>
      </c>
      <c r="E6" s="631" t="s">
        <v>715</v>
      </c>
      <c r="F6" s="632"/>
      <c r="G6" s="633"/>
      <c r="H6" s="606"/>
      <c r="I6" s="606"/>
      <c r="J6" s="606"/>
      <c r="K6" s="400"/>
      <c r="L6" s="403"/>
      <c r="M6" s="402"/>
      <c r="N6" s="402"/>
      <c r="O6" s="402"/>
      <c r="P6" s="402"/>
      <c r="Q6" s="391"/>
      <c r="R6" s="391"/>
      <c r="S6" s="391"/>
      <c r="T6" s="146"/>
      <c r="U6" s="107"/>
      <c r="V6" s="107"/>
      <c r="W6" s="107"/>
      <c r="X6" s="107"/>
    </row>
    <row r="7" spans="1:24" ht="17.25" customHeight="1">
      <c r="A7" s="583"/>
      <c r="B7" s="600" t="s">
        <v>401</v>
      </c>
      <c r="C7" s="600"/>
      <c r="D7" s="113" t="s">
        <v>3</v>
      </c>
      <c r="E7" s="631" t="s">
        <v>657</v>
      </c>
      <c r="F7" s="632"/>
      <c r="G7" s="633"/>
      <c r="H7" s="606"/>
      <c r="I7" s="606"/>
      <c r="J7" s="606"/>
      <c r="K7" s="400"/>
      <c r="L7" s="403"/>
      <c r="M7" s="402"/>
      <c r="N7" s="402"/>
      <c r="O7" s="402"/>
      <c r="P7" s="402"/>
      <c r="Q7" s="390"/>
      <c r="R7" s="390"/>
      <c r="S7" s="390"/>
      <c r="T7" s="5"/>
      <c r="U7" s="107"/>
      <c r="V7" s="107"/>
      <c r="W7" s="107"/>
      <c r="X7" s="107"/>
    </row>
    <row r="8" spans="1:24" ht="17.25" customHeight="1">
      <c r="A8" s="583"/>
      <c r="B8" s="601" t="s">
        <v>402</v>
      </c>
      <c r="C8" s="601"/>
      <c r="D8" s="113" t="s">
        <v>3</v>
      </c>
      <c r="E8" s="631">
        <v>11389175433</v>
      </c>
      <c r="F8" s="632"/>
      <c r="G8" s="633"/>
      <c r="J8" s="400"/>
      <c r="K8" s="400"/>
      <c r="L8" s="402"/>
      <c r="M8" s="402"/>
      <c r="N8" s="402"/>
      <c r="O8" s="402"/>
      <c r="P8" s="402"/>
      <c r="Q8" s="390"/>
      <c r="R8" s="390"/>
      <c r="S8" s="390"/>
      <c r="T8" s="5"/>
      <c r="U8" s="107"/>
      <c r="V8" s="107"/>
      <c r="W8" s="107"/>
      <c r="X8" s="107"/>
    </row>
    <row r="9" spans="1:24" s="106" customFormat="1" ht="17.25" customHeight="1">
      <c r="A9" s="583"/>
      <c r="B9" s="595" t="s">
        <v>503</v>
      </c>
      <c r="C9" s="595"/>
      <c r="D9" s="113" t="s">
        <v>3</v>
      </c>
      <c r="E9" s="631" t="s">
        <v>475</v>
      </c>
      <c r="F9" s="632"/>
      <c r="G9" s="633"/>
      <c r="H9" s="593" t="str">
        <f>J79</f>
        <v>YOU HAVE NO BENIFIT NOW</v>
      </c>
      <c r="I9" s="594"/>
      <c r="J9" s="404"/>
      <c r="K9" s="404"/>
      <c r="L9" s="405"/>
      <c r="M9" s="403"/>
      <c r="N9" s="406"/>
      <c r="O9" s="406"/>
      <c r="P9" s="406"/>
      <c r="Q9" s="388"/>
      <c r="R9" s="388"/>
      <c r="S9" s="388"/>
      <c r="T9" s="132"/>
      <c r="U9" s="109"/>
      <c r="V9" s="109"/>
      <c r="W9" s="109"/>
      <c r="X9" s="109"/>
    </row>
    <row r="10" spans="1:24" s="106" customFormat="1" ht="17.25" customHeight="1">
      <c r="A10" s="583"/>
      <c r="B10" s="596" t="s">
        <v>403</v>
      </c>
      <c r="C10" s="596"/>
      <c r="D10" s="113"/>
      <c r="E10" s="631">
        <v>16159</v>
      </c>
      <c r="F10" s="632"/>
      <c r="G10" s="633"/>
      <c r="H10" s="593"/>
      <c r="I10" s="594"/>
      <c r="J10" s="404"/>
      <c r="K10" s="404"/>
      <c r="L10" s="407"/>
      <c r="M10" s="403"/>
      <c r="N10" s="406"/>
      <c r="O10" s="406"/>
      <c r="P10" s="406"/>
      <c r="Q10" s="388"/>
      <c r="R10" s="388"/>
      <c r="S10" s="388"/>
      <c r="T10" s="132"/>
      <c r="U10" s="109"/>
      <c r="V10" s="109"/>
      <c r="W10" s="109"/>
      <c r="X10" s="109"/>
    </row>
    <row r="11" spans="1:24" s="106" customFormat="1" ht="17.25" customHeight="1">
      <c r="A11" s="583"/>
      <c r="B11" s="595" t="s">
        <v>441</v>
      </c>
      <c r="C11" s="595"/>
      <c r="D11" s="113" t="s">
        <v>3</v>
      </c>
      <c r="E11" s="631" t="s">
        <v>712</v>
      </c>
      <c r="F11" s="632"/>
      <c r="G11" s="633"/>
      <c r="H11" s="593"/>
      <c r="I11" s="594"/>
      <c r="J11" s="404"/>
      <c r="K11" s="404"/>
      <c r="L11" s="408"/>
      <c r="M11" s="409"/>
      <c r="N11" s="406"/>
      <c r="O11" s="406"/>
      <c r="P11" s="406"/>
      <c r="Q11" s="393"/>
      <c r="R11" s="388"/>
      <c r="S11" s="388"/>
      <c r="T11" s="132"/>
      <c r="U11" s="109"/>
      <c r="V11" s="109"/>
      <c r="W11" s="109"/>
      <c r="X11" s="109"/>
    </row>
    <row r="12" spans="1:24" s="106" customFormat="1" ht="17.25" customHeight="1" thickBot="1">
      <c r="A12" s="577"/>
      <c r="B12" s="596" t="s">
        <v>442</v>
      </c>
      <c r="C12" s="596"/>
      <c r="D12" s="316" t="s">
        <v>320</v>
      </c>
      <c r="E12" s="622">
        <v>450</v>
      </c>
      <c r="F12" s="623"/>
      <c r="G12" s="624"/>
      <c r="H12" s="593"/>
      <c r="I12" s="594"/>
      <c r="J12" s="406"/>
      <c r="K12" s="406"/>
      <c r="L12" s="406"/>
      <c r="M12" s="410"/>
      <c r="N12" s="406"/>
      <c r="O12" s="406"/>
      <c r="P12" s="406"/>
      <c r="Q12" s="388"/>
      <c r="R12" s="388"/>
      <c r="S12" s="388"/>
      <c r="T12" s="132"/>
      <c r="U12" s="109"/>
      <c r="V12" s="109"/>
      <c r="W12" s="109"/>
      <c r="X12" s="109"/>
    </row>
    <row r="13" spans="1:24" s="106" customFormat="1" ht="17.25" customHeight="1" thickBot="1">
      <c r="A13" s="427"/>
      <c r="B13" s="596" t="s">
        <v>531</v>
      </c>
      <c r="C13" s="596"/>
      <c r="D13" s="316"/>
      <c r="E13" s="631" t="s">
        <v>478</v>
      </c>
      <c r="F13" s="632"/>
      <c r="G13" s="633"/>
      <c r="H13" s="406"/>
      <c r="I13" s="406"/>
      <c r="J13" s="406"/>
      <c r="K13" s="406"/>
      <c r="L13" s="406"/>
      <c r="M13" s="410"/>
      <c r="N13" s="406"/>
      <c r="O13" s="406"/>
      <c r="P13" s="406"/>
      <c r="Q13" s="388"/>
      <c r="R13" s="388"/>
      <c r="S13" s="388"/>
      <c r="T13" s="132"/>
      <c r="U13" s="109"/>
      <c r="V13" s="109"/>
      <c r="W13" s="109"/>
      <c r="X13" s="109"/>
    </row>
    <row r="14" spans="1:20" s="106" customFormat="1" ht="17.25" customHeight="1">
      <c r="A14" s="590" t="s">
        <v>406</v>
      </c>
      <c r="B14" s="595" t="s">
        <v>183</v>
      </c>
      <c r="C14" s="595"/>
      <c r="D14" s="113" t="s">
        <v>3</v>
      </c>
      <c r="E14" s="631" t="s">
        <v>658</v>
      </c>
      <c r="F14" s="632"/>
      <c r="G14" s="633"/>
      <c r="H14" s="406"/>
      <c r="I14" s="406"/>
      <c r="J14" s="406"/>
      <c r="K14" s="406"/>
      <c r="L14" s="406"/>
      <c r="M14" s="406"/>
      <c r="N14" s="406"/>
      <c r="O14" s="406"/>
      <c r="P14" s="406"/>
      <c r="Q14" s="394"/>
      <c r="R14" s="393"/>
      <c r="S14" s="393"/>
      <c r="T14" s="132"/>
    </row>
    <row r="15" spans="1:20" s="106" customFormat="1" ht="17.25" customHeight="1">
      <c r="A15" s="591"/>
      <c r="B15" s="596" t="s">
        <v>319</v>
      </c>
      <c r="C15" s="596"/>
      <c r="D15" s="113" t="s">
        <v>3</v>
      </c>
      <c r="E15" s="628">
        <v>40801</v>
      </c>
      <c r="F15" s="629"/>
      <c r="G15" s="630"/>
      <c r="H15" s="406"/>
      <c r="I15" s="406"/>
      <c r="J15" s="406"/>
      <c r="K15" s="406"/>
      <c r="L15" s="406"/>
      <c r="M15" s="406"/>
      <c r="N15" s="406"/>
      <c r="O15" s="406"/>
      <c r="P15" s="406"/>
      <c r="Q15" s="394"/>
      <c r="R15" s="393"/>
      <c r="S15" s="393"/>
      <c r="T15" s="132"/>
    </row>
    <row r="16" spans="1:24" ht="17.25" customHeight="1">
      <c r="A16" s="591"/>
      <c r="B16" s="601" t="s">
        <v>421</v>
      </c>
      <c r="C16" s="601"/>
      <c r="D16" s="113" t="s">
        <v>3</v>
      </c>
      <c r="E16" s="628" t="s">
        <v>578</v>
      </c>
      <c r="F16" s="629"/>
      <c r="G16" s="630"/>
      <c r="H16" s="411"/>
      <c r="I16" s="412"/>
      <c r="J16" s="412"/>
      <c r="K16" s="412"/>
      <c r="L16" s="411"/>
      <c r="M16" s="412"/>
      <c r="N16" s="413"/>
      <c r="O16" s="414"/>
      <c r="P16" s="414"/>
      <c r="Q16" s="385"/>
      <c r="R16" s="385"/>
      <c r="S16" s="385"/>
      <c r="T16" s="5"/>
      <c r="U16" s="107"/>
      <c r="V16" s="107"/>
      <c r="W16" s="107"/>
      <c r="X16" s="107"/>
    </row>
    <row r="17" spans="1:20" s="106" customFormat="1" ht="17.25" customHeight="1">
      <c r="A17" s="591"/>
      <c r="B17" s="595" t="s">
        <v>156</v>
      </c>
      <c r="C17" s="595"/>
      <c r="D17" s="113" t="s">
        <v>3</v>
      </c>
      <c r="E17" s="597">
        <v>7020308008</v>
      </c>
      <c r="F17" s="598"/>
      <c r="G17" s="599"/>
      <c r="H17" s="404"/>
      <c r="I17" s="404"/>
      <c r="J17" s="404"/>
      <c r="K17" s="404"/>
      <c r="L17" s="404"/>
      <c r="M17" s="404"/>
      <c r="N17" s="404"/>
      <c r="O17" s="404"/>
      <c r="P17" s="404"/>
      <c r="Q17" s="394"/>
      <c r="R17" s="393"/>
      <c r="S17" s="393"/>
      <c r="T17" s="132"/>
    </row>
    <row r="18" spans="1:20" s="106" customFormat="1" ht="17.25" customHeight="1">
      <c r="A18" s="591"/>
      <c r="B18" s="596" t="s">
        <v>157</v>
      </c>
      <c r="C18" s="596"/>
      <c r="D18" s="113" t="s">
        <v>3</v>
      </c>
      <c r="E18" s="628" t="s">
        <v>313</v>
      </c>
      <c r="F18" s="629"/>
      <c r="G18" s="630"/>
      <c r="H18" s="404"/>
      <c r="I18" s="404"/>
      <c r="J18" s="406"/>
      <c r="K18" s="406"/>
      <c r="L18" s="406"/>
      <c r="M18" s="406"/>
      <c r="N18" s="406"/>
      <c r="O18" s="406"/>
      <c r="P18" s="406"/>
      <c r="Q18" s="394"/>
      <c r="R18" s="393"/>
      <c r="S18" s="393"/>
      <c r="T18" s="132"/>
    </row>
    <row r="19" spans="1:20" s="106" customFormat="1" ht="17.25" customHeight="1">
      <c r="A19" s="591"/>
      <c r="B19" s="595" t="s">
        <v>62</v>
      </c>
      <c r="C19" s="595"/>
      <c r="D19" s="113" t="s">
        <v>3</v>
      </c>
      <c r="E19" s="622">
        <v>751</v>
      </c>
      <c r="F19" s="623"/>
      <c r="G19" s="624"/>
      <c r="H19" s="409"/>
      <c r="I19" s="409"/>
      <c r="J19" s="406"/>
      <c r="K19" s="406"/>
      <c r="L19" s="406"/>
      <c r="M19" s="406"/>
      <c r="N19" s="406"/>
      <c r="O19" s="406"/>
      <c r="P19" s="406"/>
      <c r="Q19" s="394"/>
      <c r="R19" s="393"/>
      <c r="S19" s="393"/>
      <c r="T19" s="132"/>
    </row>
    <row r="20" spans="1:20" s="106" customFormat="1" ht="17.25" customHeight="1">
      <c r="A20" s="591"/>
      <c r="B20" s="596" t="s">
        <v>158</v>
      </c>
      <c r="C20" s="596"/>
      <c r="D20" s="113" t="s">
        <v>3</v>
      </c>
      <c r="E20" s="628" t="s">
        <v>314</v>
      </c>
      <c r="F20" s="629"/>
      <c r="G20" s="630"/>
      <c r="H20" s="404"/>
      <c r="I20" s="404"/>
      <c r="J20" s="406"/>
      <c r="K20" s="406"/>
      <c r="L20" s="406"/>
      <c r="M20" s="406"/>
      <c r="N20" s="406"/>
      <c r="O20" s="406"/>
      <c r="P20" s="406"/>
      <c r="Q20" s="394"/>
      <c r="R20" s="393"/>
      <c r="S20" s="393"/>
      <c r="T20" s="132"/>
    </row>
    <row r="21" spans="1:20" s="106" customFormat="1" ht="17.25" customHeight="1">
      <c r="A21" s="591"/>
      <c r="B21" s="595" t="s">
        <v>404</v>
      </c>
      <c r="C21" s="595"/>
      <c r="D21" s="113" t="s">
        <v>3</v>
      </c>
      <c r="E21" s="628" t="s">
        <v>579</v>
      </c>
      <c r="F21" s="629"/>
      <c r="G21" s="630"/>
      <c r="H21" s="406"/>
      <c r="I21" s="406"/>
      <c r="J21" s="406"/>
      <c r="K21" s="406"/>
      <c r="L21" s="406"/>
      <c r="M21" s="406"/>
      <c r="N21" s="406"/>
      <c r="O21" s="406"/>
      <c r="P21" s="406"/>
      <c r="Q21" s="394"/>
      <c r="R21" s="393"/>
      <c r="S21" s="393"/>
      <c r="T21" s="132"/>
    </row>
    <row r="22" spans="1:20" s="106" customFormat="1" ht="17.25" customHeight="1">
      <c r="A22" s="591"/>
      <c r="B22" s="596" t="s">
        <v>417</v>
      </c>
      <c r="C22" s="596"/>
      <c r="D22" s="113" t="s">
        <v>3</v>
      </c>
      <c r="E22" s="628" t="s">
        <v>509</v>
      </c>
      <c r="F22" s="629"/>
      <c r="G22" s="630"/>
      <c r="H22" s="406"/>
      <c r="I22" s="406"/>
      <c r="J22" s="406"/>
      <c r="K22" s="406"/>
      <c r="L22" s="406"/>
      <c r="M22" s="406"/>
      <c r="N22" s="406"/>
      <c r="O22" s="406"/>
      <c r="P22" s="406"/>
      <c r="Q22" s="394"/>
      <c r="R22" s="393"/>
      <c r="S22" s="393"/>
      <c r="T22" s="132"/>
    </row>
    <row r="23" spans="1:21" ht="17.25" customHeight="1">
      <c r="A23" s="591"/>
      <c r="B23" s="595" t="s">
        <v>532</v>
      </c>
      <c r="C23" s="595"/>
      <c r="D23" s="113" t="s">
        <v>3</v>
      </c>
      <c r="E23" s="628" t="s">
        <v>478</v>
      </c>
      <c r="F23" s="629"/>
      <c r="G23" s="630"/>
      <c r="H23" s="411"/>
      <c r="I23" s="411"/>
      <c r="J23" s="411"/>
      <c r="K23" s="411"/>
      <c r="L23" s="411"/>
      <c r="M23" s="411"/>
      <c r="N23" s="411"/>
      <c r="O23" s="411"/>
      <c r="P23" s="411"/>
      <c r="Q23" s="15"/>
      <c r="R23" s="15"/>
      <c r="S23" s="139"/>
      <c r="T23" s="139"/>
      <c r="U23" s="141"/>
    </row>
    <row r="24" spans="1:21" ht="17.25" customHeight="1">
      <c r="A24" s="592"/>
      <c r="B24" s="431"/>
      <c r="C24" s="430" t="s">
        <v>316</v>
      </c>
      <c r="D24" s="113" t="s">
        <v>3</v>
      </c>
      <c r="E24" s="628" t="s">
        <v>473</v>
      </c>
      <c r="F24" s="629"/>
      <c r="G24" s="630"/>
      <c r="H24" s="411"/>
      <c r="I24" s="411"/>
      <c r="J24" s="411"/>
      <c r="K24" s="411"/>
      <c r="L24" s="411"/>
      <c r="M24" s="411"/>
      <c r="N24" s="411"/>
      <c r="O24" s="411"/>
      <c r="P24" s="411"/>
      <c r="Q24" s="15"/>
      <c r="R24" s="15"/>
      <c r="S24" s="139"/>
      <c r="T24" s="139"/>
      <c r="U24" s="140"/>
    </row>
    <row r="25" spans="1:24" ht="17.25" customHeight="1">
      <c r="A25" s="449"/>
      <c r="B25" s="600" t="s">
        <v>581</v>
      </c>
      <c r="C25" s="600"/>
      <c r="D25" s="113" t="s">
        <v>3</v>
      </c>
      <c r="E25" s="628" t="s">
        <v>515</v>
      </c>
      <c r="F25" s="629"/>
      <c r="G25" s="630"/>
      <c r="H25" s="402"/>
      <c r="I25" s="413"/>
      <c r="J25" s="413"/>
      <c r="K25" s="414"/>
      <c r="L25" s="414"/>
      <c r="M25" s="402"/>
      <c r="N25" s="402"/>
      <c r="O25" s="413"/>
      <c r="P25" s="413"/>
      <c r="Q25" s="395"/>
      <c r="R25" s="395"/>
      <c r="S25" s="395"/>
      <c r="T25" s="147"/>
      <c r="U25" s="133"/>
      <c r="V25" s="133"/>
      <c r="W25" s="107"/>
      <c r="X25" s="107"/>
    </row>
    <row r="26" spans="1:24" ht="17.25" customHeight="1">
      <c r="A26" s="449"/>
      <c r="B26" s="601" t="s">
        <v>587</v>
      </c>
      <c r="C26" s="601"/>
      <c r="D26" s="113" t="s">
        <v>3</v>
      </c>
      <c r="E26" s="628" t="s">
        <v>504</v>
      </c>
      <c r="F26" s="629"/>
      <c r="G26" s="630"/>
      <c r="H26" s="414"/>
      <c r="I26" s="414"/>
      <c r="J26" s="414"/>
      <c r="K26" s="414"/>
      <c r="L26" s="414"/>
      <c r="M26" s="414"/>
      <c r="N26" s="414"/>
      <c r="O26" s="414"/>
      <c r="P26" s="414"/>
      <c r="Q26" s="385"/>
      <c r="R26" s="385"/>
      <c r="S26" s="385"/>
      <c r="T26" s="5"/>
      <c r="U26" s="107"/>
      <c r="V26" s="107"/>
      <c r="W26" s="107"/>
      <c r="X26" s="107"/>
    </row>
    <row r="27" spans="1:24" ht="17.25" customHeight="1">
      <c r="A27" s="449"/>
      <c r="B27" s="468"/>
      <c r="C27" s="468" t="s">
        <v>630</v>
      </c>
      <c r="D27" s="113"/>
      <c r="E27" s="628" t="s">
        <v>626</v>
      </c>
      <c r="F27" s="629"/>
      <c r="G27" s="630"/>
      <c r="H27" s="414"/>
      <c r="I27" s="414"/>
      <c r="J27" s="414"/>
      <c r="K27" s="414"/>
      <c r="L27" s="414"/>
      <c r="M27" s="414"/>
      <c r="N27" s="414"/>
      <c r="O27" s="414"/>
      <c r="P27" s="414"/>
      <c r="Q27" s="385"/>
      <c r="R27" s="385"/>
      <c r="S27" s="385"/>
      <c r="T27" s="5"/>
      <c r="U27" s="107"/>
      <c r="V27" s="107"/>
      <c r="W27" s="107"/>
      <c r="X27" s="107"/>
    </row>
    <row r="28" spans="1:24" ht="17.25" customHeight="1">
      <c r="A28" s="449"/>
      <c r="B28" s="468"/>
      <c r="C28" s="554" t="s">
        <v>708</v>
      </c>
      <c r="D28" s="113"/>
      <c r="E28" s="546" t="s">
        <v>716</v>
      </c>
      <c r="F28" s="547" t="s">
        <v>504</v>
      </c>
      <c r="G28" s="548" t="s">
        <v>505</v>
      </c>
      <c r="H28" s="414"/>
      <c r="I28" s="414"/>
      <c r="J28" s="414"/>
      <c r="K28" s="414"/>
      <c r="L28" s="414"/>
      <c r="M28" s="414"/>
      <c r="N28" s="414"/>
      <c r="O28" s="414"/>
      <c r="P28" s="414"/>
      <c r="Q28" s="385"/>
      <c r="R28" s="385"/>
      <c r="S28" s="385"/>
      <c r="T28" s="5"/>
      <c r="U28" s="107"/>
      <c r="V28" s="107"/>
      <c r="W28" s="107"/>
      <c r="X28" s="107"/>
    </row>
    <row r="29" spans="1:20" s="106" customFormat="1" ht="30.75" customHeight="1">
      <c r="A29" s="448" t="s">
        <v>405</v>
      </c>
      <c r="B29" s="595" t="s">
        <v>582</v>
      </c>
      <c r="C29" s="595"/>
      <c r="D29" s="113" t="s">
        <v>3</v>
      </c>
      <c r="E29" s="399">
        <v>17</v>
      </c>
      <c r="F29" s="399" t="s">
        <v>490</v>
      </c>
      <c r="G29" s="399">
        <v>2002</v>
      </c>
      <c r="H29" s="406"/>
      <c r="I29" s="406"/>
      <c r="J29" s="406"/>
      <c r="K29" s="406"/>
      <c r="L29" s="406"/>
      <c r="M29" s="406"/>
      <c r="N29" s="406"/>
      <c r="O29" s="406"/>
      <c r="P29" s="406"/>
      <c r="Q29" s="394"/>
      <c r="R29" s="393"/>
      <c r="S29" s="393"/>
      <c r="T29" s="132"/>
    </row>
    <row r="30" spans="1:24" s="106" customFormat="1" ht="17.25" customHeight="1">
      <c r="A30" s="449"/>
      <c r="B30" s="596" t="s">
        <v>418</v>
      </c>
      <c r="C30" s="596"/>
      <c r="D30" s="113" t="s">
        <v>3</v>
      </c>
      <c r="E30" s="399">
        <v>31</v>
      </c>
      <c r="F30" s="399" t="s">
        <v>489</v>
      </c>
      <c r="G30" s="399">
        <v>2011</v>
      </c>
      <c r="H30" s="406"/>
      <c r="I30" s="406"/>
      <c r="J30" s="406"/>
      <c r="K30" s="406"/>
      <c r="L30" s="406"/>
      <c r="M30" s="406"/>
      <c r="N30" s="406"/>
      <c r="O30" s="406"/>
      <c r="P30" s="406"/>
      <c r="Q30" s="388"/>
      <c r="R30" s="388"/>
      <c r="S30" s="388"/>
      <c r="T30" s="132"/>
      <c r="U30" s="109"/>
      <c r="V30" s="109"/>
      <c r="W30" s="109"/>
      <c r="X30" s="109"/>
    </row>
    <row r="31" spans="1:24" ht="17.25" customHeight="1">
      <c r="A31" s="449"/>
      <c r="B31" s="600" t="s">
        <v>419</v>
      </c>
      <c r="C31" s="600"/>
      <c r="D31" s="113" t="s">
        <v>3</v>
      </c>
      <c r="E31" s="628" t="s">
        <v>525</v>
      </c>
      <c r="F31" s="629"/>
      <c r="G31" s="630"/>
      <c r="H31" s="413"/>
      <c r="I31" s="413"/>
      <c r="J31" s="413"/>
      <c r="K31" s="413"/>
      <c r="L31" s="413"/>
      <c r="M31" s="413"/>
      <c r="N31" s="413"/>
      <c r="O31" s="413"/>
      <c r="P31" s="413"/>
      <c r="Q31" s="387"/>
      <c r="R31" s="387"/>
      <c r="S31" s="387"/>
      <c r="T31" s="148"/>
      <c r="U31" s="110"/>
      <c r="V31" s="107"/>
      <c r="W31" s="107"/>
      <c r="X31" s="107"/>
    </row>
    <row r="32" spans="1:24" ht="17.25" customHeight="1">
      <c r="A32" s="449"/>
      <c r="B32" s="553" t="s">
        <v>702</v>
      </c>
      <c r="C32" s="429"/>
      <c r="D32" s="113"/>
      <c r="E32" s="628" t="s">
        <v>703</v>
      </c>
      <c r="F32" s="629"/>
      <c r="G32" s="630"/>
      <c r="H32" s="413"/>
      <c r="I32" s="413"/>
      <c r="J32" s="413"/>
      <c r="K32" s="413"/>
      <c r="L32" s="413"/>
      <c r="M32" s="413"/>
      <c r="N32" s="413"/>
      <c r="O32" s="413"/>
      <c r="P32" s="413"/>
      <c r="Q32" s="387"/>
      <c r="R32" s="387"/>
      <c r="S32" s="387"/>
      <c r="T32" s="148"/>
      <c r="U32" s="110"/>
      <c r="V32" s="107"/>
      <c r="W32" s="107"/>
      <c r="X32" s="107"/>
    </row>
    <row r="33" spans="1:24" s="1" customFormat="1" ht="17.25" customHeight="1">
      <c r="A33" s="449"/>
      <c r="B33" s="602" t="s">
        <v>420</v>
      </c>
      <c r="C33" s="602"/>
      <c r="D33" s="113" t="s">
        <v>3</v>
      </c>
      <c r="E33" s="628" t="s">
        <v>480</v>
      </c>
      <c r="F33" s="629"/>
      <c r="G33" s="630"/>
      <c r="H33" s="415"/>
      <c r="I33" s="415"/>
      <c r="J33" s="415"/>
      <c r="K33" s="415"/>
      <c r="L33" s="415"/>
      <c r="M33" s="415"/>
      <c r="N33" s="415"/>
      <c r="O33" s="415"/>
      <c r="P33" s="415"/>
      <c r="Q33" s="386"/>
      <c r="R33" s="386"/>
      <c r="S33" s="386"/>
      <c r="U33" s="108"/>
      <c r="V33" s="108"/>
      <c r="W33" s="108"/>
      <c r="X33" s="108"/>
    </row>
    <row r="34" spans="1:24" ht="17.25" customHeight="1">
      <c r="A34" s="449"/>
      <c r="B34" s="600" t="s">
        <v>583</v>
      </c>
      <c r="C34" s="600"/>
      <c r="D34" s="316" t="s">
        <v>320</v>
      </c>
      <c r="E34" s="622">
        <v>12190</v>
      </c>
      <c r="F34" s="623"/>
      <c r="G34" s="624"/>
      <c r="H34" s="414"/>
      <c r="I34" s="414"/>
      <c r="J34" s="414"/>
      <c r="K34" s="414"/>
      <c r="L34" s="414"/>
      <c r="M34" s="414"/>
      <c r="N34" s="414"/>
      <c r="O34" s="414"/>
      <c r="P34" s="414"/>
      <c r="Q34" s="396"/>
      <c r="R34" s="396"/>
      <c r="S34" s="396"/>
      <c r="T34" s="149"/>
      <c r="U34" s="134"/>
      <c r="V34" s="107"/>
      <c r="W34" s="107"/>
      <c r="X34" s="107"/>
    </row>
    <row r="35" spans="1:24" ht="17.25" customHeight="1">
      <c r="A35" s="449"/>
      <c r="B35" s="586" t="s">
        <v>317</v>
      </c>
      <c r="C35" s="587"/>
      <c r="D35" s="316" t="s">
        <v>320</v>
      </c>
      <c r="E35" s="622">
        <v>0</v>
      </c>
      <c r="F35" s="623"/>
      <c r="G35" s="624"/>
      <c r="H35" s="414"/>
      <c r="I35" s="414"/>
      <c r="J35" s="414"/>
      <c r="K35" s="414"/>
      <c r="L35" s="414"/>
      <c r="M35" s="414"/>
      <c r="N35" s="414"/>
      <c r="O35" s="414"/>
      <c r="P35" s="414"/>
      <c r="Q35" s="385"/>
      <c r="R35" s="385"/>
      <c r="S35" s="385"/>
      <c r="T35" s="5"/>
      <c r="U35" s="107"/>
      <c r="V35" s="107"/>
      <c r="W35" s="107"/>
      <c r="X35" s="107"/>
    </row>
    <row r="36" spans="1:24" ht="17.25" customHeight="1">
      <c r="A36" s="449"/>
      <c r="B36" s="600" t="s">
        <v>151</v>
      </c>
      <c r="C36" s="600"/>
      <c r="D36" s="316" t="s">
        <v>320</v>
      </c>
      <c r="E36" s="622">
        <v>0</v>
      </c>
      <c r="F36" s="623"/>
      <c r="G36" s="624"/>
      <c r="H36" s="414"/>
      <c r="I36" s="414"/>
      <c r="J36" s="414"/>
      <c r="K36" s="414"/>
      <c r="L36" s="414"/>
      <c r="M36" s="414"/>
      <c r="N36" s="414"/>
      <c r="O36" s="414"/>
      <c r="P36" s="414"/>
      <c r="Q36" s="385"/>
      <c r="R36" s="385"/>
      <c r="S36" s="385"/>
      <c r="T36" s="5"/>
      <c r="U36" s="107"/>
      <c r="V36" s="107"/>
      <c r="W36" s="107"/>
      <c r="X36" s="107"/>
    </row>
    <row r="37" spans="1:24" ht="17.25" customHeight="1">
      <c r="A37" s="449"/>
      <c r="B37" s="600" t="s">
        <v>584</v>
      </c>
      <c r="C37" s="600"/>
      <c r="D37" s="113" t="s">
        <v>3</v>
      </c>
      <c r="E37" s="622" t="s">
        <v>605</v>
      </c>
      <c r="F37" s="623"/>
      <c r="G37" s="624"/>
      <c r="H37" s="416"/>
      <c r="I37" s="416"/>
      <c r="J37" s="416"/>
      <c r="K37" s="416"/>
      <c r="L37" s="416"/>
      <c r="M37" s="416"/>
      <c r="N37" s="416"/>
      <c r="O37" s="416"/>
      <c r="P37" s="416"/>
      <c r="Q37" s="397"/>
      <c r="R37" s="397"/>
      <c r="S37" s="397"/>
      <c r="T37" s="172"/>
      <c r="U37" s="172"/>
      <c r="V37" s="107"/>
      <c r="W37" s="107"/>
      <c r="X37" s="107"/>
    </row>
    <row r="38" spans="1:24" ht="17.25" customHeight="1">
      <c r="A38" s="449"/>
      <c r="B38" s="601" t="s">
        <v>535</v>
      </c>
      <c r="C38" s="601"/>
      <c r="D38" s="113" t="s">
        <v>3</v>
      </c>
      <c r="E38" s="622" t="s">
        <v>605</v>
      </c>
      <c r="F38" s="623"/>
      <c r="G38" s="624"/>
      <c r="H38" s="416"/>
      <c r="I38" s="416"/>
      <c r="J38" s="416"/>
      <c r="K38" s="416"/>
      <c r="L38" s="416"/>
      <c r="M38" s="416"/>
      <c r="N38" s="416"/>
      <c r="O38" s="416"/>
      <c r="P38" s="416"/>
      <c r="Q38" s="397"/>
      <c r="R38" s="397"/>
      <c r="S38" s="397"/>
      <c r="T38" s="172"/>
      <c r="U38" s="172"/>
      <c r="V38" s="107"/>
      <c r="W38" s="107"/>
      <c r="X38" s="107"/>
    </row>
    <row r="39" spans="1:24" ht="17.25" customHeight="1">
      <c r="A39" s="449"/>
      <c r="B39" s="431"/>
      <c r="C39" s="428" t="s">
        <v>422</v>
      </c>
      <c r="D39" s="113" t="s">
        <v>3</v>
      </c>
      <c r="E39" s="533">
        <v>1</v>
      </c>
      <c r="F39" s="534" t="s">
        <v>484</v>
      </c>
      <c r="G39" s="535">
        <v>2010</v>
      </c>
      <c r="H39" s="416"/>
      <c r="I39" s="416"/>
      <c r="J39" s="416"/>
      <c r="K39" s="416"/>
      <c r="L39" s="416"/>
      <c r="M39" s="416"/>
      <c r="N39" s="416"/>
      <c r="O39" s="416"/>
      <c r="P39" s="416"/>
      <c r="Q39" s="397"/>
      <c r="R39" s="397"/>
      <c r="S39" s="397"/>
      <c r="T39" s="172"/>
      <c r="U39" s="107"/>
      <c r="V39" s="107"/>
      <c r="W39" s="107"/>
      <c r="X39" s="107"/>
    </row>
    <row r="40" spans="1:24" ht="17.25" customHeight="1">
      <c r="A40" s="449"/>
      <c r="B40" s="601" t="s">
        <v>494</v>
      </c>
      <c r="C40" s="601"/>
      <c r="D40" s="113" t="s">
        <v>3</v>
      </c>
      <c r="E40" s="622" t="s">
        <v>490</v>
      </c>
      <c r="F40" s="623"/>
      <c r="G40" s="624"/>
      <c r="H40" s="414"/>
      <c r="I40" s="414"/>
      <c r="J40" s="414"/>
      <c r="K40" s="414"/>
      <c r="L40" s="414"/>
      <c r="M40" s="414"/>
      <c r="N40" s="414"/>
      <c r="O40" s="414"/>
      <c r="P40" s="414"/>
      <c r="Q40" s="385"/>
      <c r="R40" s="385"/>
      <c r="S40" s="385"/>
      <c r="T40" s="5"/>
      <c r="U40" s="107"/>
      <c r="V40" s="107"/>
      <c r="W40" s="107"/>
      <c r="X40" s="107"/>
    </row>
    <row r="41" spans="1:24" ht="17.25" customHeight="1">
      <c r="A41" s="449"/>
      <c r="B41" s="468"/>
      <c r="C41" s="468" t="s">
        <v>660</v>
      </c>
      <c r="D41" s="113"/>
      <c r="E41" s="622" t="s">
        <v>478</v>
      </c>
      <c r="F41" s="623"/>
      <c r="G41" s="624"/>
      <c r="H41" s="414"/>
      <c r="I41" s="414"/>
      <c r="J41" s="414"/>
      <c r="K41" s="414"/>
      <c r="L41" s="414"/>
      <c r="M41" s="414"/>
      <c r="N41" s="414"/>
      <c r="O41" s="414"/>
      <c r="P41" s="414"/>
      <c r="Q41" s="385"/>
      <c r="R41" s="385"/>
      <c r="S41" s="385"/>
      <c r="T41" s="5"/>
      <c r="U41" s="107"/>
      <c r="V41" s="107"/>
      <c r="W41" s="107"/>
      <c r="X41" s="107"/>
    </row>
    <row r="42" spans="1:24" ht="17.25" customHeight="1">
      <c r="A42" s="449"/>
      <c r="B42" s="596" t="s">
        <v>585</v>
      </c>
      <c r="C42" s="596"/>
      <c r="D42" s="113" t="s">
        <v>3</v>
      </c>
      <c r="E42" s="622" t="s">
        <v>477</v>
      </c>
      <c r="F42" s="623"/>
      <c r="G42" s="624"/>
      <c r="H42" s="417"/>
      <c r="I42" s="417"/>
      <c r="J42" s="417"/>
      <c r="K42" s="417"/>
      <c r="L42" s="417"/>
      <c r="M42" s="417"/>
      <c r="N42" s="417"/>
      <c r="O42" s="417"/>
      <c r="P42" s="417"/>
      <c r="Q42" s="388"/>
      <c r="R42" s="388"/>
      <c r="S42" s="388"/>
      <c r="T42" s="132"/>
      <c r="U42" s="109"/>
      <c r="V42" s="107"/>
      <c r="W42" s="112"/>
      <c r="X42" s="107"/>
    </row>
    <row r="43" spans="1:24" s="106" customFormat="1" ht="17.25" customHeight="1">
      <c r="A43" s="449"/>
      <c r="B43" s="603" t="s">
        <v>586</v>
      </c>
      <c r="C43" s="476" t="s">
        <v>423</v>
      </c>
      <c r="D43" s="113" t="s">
        <v>3</v>
      </c>
      <c r="E43" s="622" t="s">
        <v>495</v>
      </c>
      <c r="F43" s="623"/>
      <c r="G43" s="624"/>
      <c r="H43" s="406"/>
      <c r="I43" s="406"/>
      <c r="J43" s="406"/>
      <c r="K43" s="406"/>
      <c r="L43" s="406"/>
      <c r="M43" s="406"/>
      <c r="N43" s="406"/>
      <c r="O43" s="406"/>
      <c r="P43" s="406"/>
      <c r="Q43" s="388"/>
      <c r="R43" s="388"/>
      <c r="S43" s="388"/>
      <c r="T43" s="132"/>
      <c r="U43" s="109"/>
      <c r="V43" s="109"/>
      <c r="W43" s="109"/>
      <c r="X43" s="109"/>
    </row>
    <row r="44" spans="1:24" s="106" customFormat="1" ht="17.25" customHeight="1">
      <c r="A44" s="449"/>
      <c r="B44" s="604"/>
      <c r="C44" s="476" t="s">
        <v>182</v>
      </c>
      <c r="D44" s="113" t="s">
        <v>3</v>
      </c>
      <c r="E44" s="536">
        <v>26</v>
      </c>
      <c r="F44" s="536" t="s">
        <v>483</v>
      </c>
      <c r="G44" s="536">
        <v>2011</v>
      </c>
      <c r="J44" s="406"/>
      <c r="K44" s="406"/>
      <c r="L44" s="406"/>
      <c r="M44" s="406"/>
      <c r="N44" s="406"/>
      <c r="O44" s="406"/>
      <c r="P44" s="406"/>
      <c r="Q44" s="388"/>
      <c r="R44" s="388"/>
      <c r="S44" s="150"/>
      <c r="T44" s="150"/>
      <c r="U44" s="140"/>
      <c r="V44" s="109"/>
      <c r="W44" s="109"/>
      <c r="X44" s="109"/>
    </row>
    <row r="45" spans="1:24" s="106" customFormat="1" ht="17.25" customHeight="1">
      <c r="A45" s="449"/>
      <c r="B45" s="604"/>
      <c r="C45" s="477" t="s">
        <v>416</v>
      </c>
      <c r="D45" s="113" t="s">
        <v>3</v>
      </c>
      <c r="E45" s="622" t="s">
        <v>507</v>
      </c>
      <c r="F45" s="623"/>
      <c r="G45" s="624"/>
      <c r="J45" s="406"/>
      <c r="K45" s="406"/>
      <c r="L45" s="406"/>
      <c r="M45" s="406"/>
      <c r="N45" s="409"/>
      <c r="O45" s="409"/>
      <c r="P45" s="409"/>
      <c r="Q45" s="382"/>
      <c r="R45" s="389"/>
      <c r="S45" s="389"/>
      <c r="T45" s="389"/>
      <c r="U45" s="389"/>
      <c r="V45" s="389"/>
      <c r="W45" s="132"/>
      <c r="X45" s="132"/>
    </row>
    <row r="46" spans="1:24" s="106" customFormat="1" ht="17.25" customHeight="1">
      <c r="A46" s="449"/>
      <c r="B46" s="605"/>
      <c r="C46" s="476" t="s">
        <v>415</v>
      </c>
      <c r="D46" s="316" t="s">
        <v>320</v>
      </c>
      <c r="E46" s="625" t="s">
        <v>436</v>
      </c>
      <c r="F46" s="626"/>
      <c r="G46" s="627"/>
      <c r="J46" s="423"/>
      <c r="K46" s="423"/>
      <c r="L46" s="423"/>
      <c r="M46" s="423"/>
      <c r="N46" s="423"/>
      <c r="O46" s="423"/>
      <c r="P46" s="423"/>
      <c r="Q46" s="382"/>
      <c r="R46" s="382"/>
      <c r="S46" s="382"/>
      <c r="T46" s="382"/>
      <c r="U46" s="382"/>
      <c r="V46" s="382"/>
      <c r="W46" s="132"/>
      <c r="X46" s="132"/>
    </row>
    <row r="47" spans="1:26" s="106" customFormat="1" ht="17.25" customHeight="1">
      <c r="A47" s="469"/>
      <c r="B47" s="473"/>
      <c r="C47" s="474" t="s">
        <v>623</v>
      </c>
      <c r="D47" s="316"/>
      <c r="E47" s="470" t="s">
        <v>478</v>
      </c>
      <c r="F47" s="537" t="s">
        <v>624</v>
      </c>
      <c r="G47" s="537" t="s">
        <v>625</v>
      </c>
      <c r="J47" s="423"/>
      <c r="K47" s="423"/>
      <c r="L47" s="423"/>
      <c r="M47" s="423"/>
      <c r="N47" s="423"/>
      <c r="O47" s="423"/>
      <c r="P47" s="423"/>
      <c r="Q47" s="382"/>
      <c r="R47" s="382"/>
      <c r="S47" s="382"/>
      <c r="T47" s="382"/>
      <c r="U47" s="382"/>
      <c r="V47" s="382"/>
      <c r="W47" s="132"/>
      <c r="X47" s="132"/>
      <c r="Z47" s="532" t="s">
        <v>162</v>
      </c>
    </row>
    <row r="48" spans="1:24" s="106" customFormat="1" ht="17.25" customHeight="1">
      <c r="A48" s="469"/>
      <c r="B48" s="473"/>
      <c r="C48" s="478" t="s">
        <v>629</v>
      </c>
      <c r="D48" s="316"/>
      <c r="E48" s="472"/>
      <c r="F48" s="471">
        <v>36161</v>
      </c>
      <c r="G48" s="471">
        <v>36745</v>
      </c>
      <c r="J48" s="423"/>
      <c r="K48" s="423"/>
      <c r="L48" s="423"/>
      <c r="M48" s="423"/>
      <c r="N48" s="423"/>
      <c r="O48" s="423"/>
      <c r="P48" s="423"/>
      <c r="Q48" s="382"/>
      <c r="R48" s="382"/>
      <c r="S48" s="382"/>
      <c r="T48" s="382"/>
      <c r="U48" s="382"/>
      <c r="V48" s="382"/>
      <c r="W48" s="132"/>
      <c r="X48" s="132"/>
    </row>
    <row r="49" spans="1:24" s="106" customFormat="1" ht="17.25" customHeight="1">
      <c r="A49" s="469"/>
      <c r="B49" s="473"/>
      <c r="C49" s="479" t="s">
        <v>655</v>
      </c>
      <c r="D49" s="316"/>
      <c r="E49" s="472"/>
      <c r="F49" s="471">
        <v>0</v>
      </c>
      <c r="G49" s="471">
        <v>36334</v>
      </c>
      <c r="J49" s="423"/>
      <c r="K49" s="423"/>
      <c r="L49" s="423"/>
      <c r="M49" s="423"/>
      <c r="N49" s="423"/>
      <c r="O49" s="423"/>
      <c r="P49" s="423"/>
      <c r="Q49" s="382"/>
      <c r="R49" s="382"/>
      <c r="S49" s="382"/>
      <c r="T49" s="382"/>
      <c r="U49" s="382"/>
      <c r="V49" s="382"/>
      <c r="W49" s="132"/>
      <c r="X49" s="132"/>
    </row>
    <row r="50" spans="1:7" ht="15" customHeight="1">
      <c r="A50" s="469"/>
      <c r="B50" s="475"/>
      <c r="C50" s="474"/>
      <c r="E50" s="538"/>
      <c r="F50" s="471">
        <v>0</v>
      </c>
      <c r="G50" s="471">
        <v>36334</v>
      </c>
    </row>
    <row r="51" spans="1:9" ht="15.75" customHeight="1">
      <c r="A51" s="469"/>
      <c r="B51" s="475"/>
      <c r="C51" s="474"/>
      <c r="E51" s="538"/>
      <c r="F51" s="471">
        <v>0</v>
      </c>
      <c r="G51" s="471">
        <v>36334</v>
      </c>
      <c r="H51" s="504"/>
      <c r="I51" s="503"/>
    </row>
    <row r="52" spans="3:29" ht="12.75" hidden="1">
      <c r="C52" t="s">
        <v>214</v>
      </c>
      <c r="E52">
        <f>IF(E127&lt;8,E127+12,E127)</f>
        <v>10</v>
      </c>
      <c r="F52">
        <f>E127</f>
        <v>10</v>
      </c>
      <c r="H52" t="str">
        <f>IF(E37=E38,"x","y")</f>
        <v>x</v>
      </c>
      <c r="AC52" s="12"/>
    </row>
    <row r="53" spans="5:63" ht="12.75" hidden="1">
      <c r="E53" s="156"/>
      <c r="S53" s="15"/>
      <c r="T53" s="15"/>
      <c r="U53" s="15"/>
      <c r="V53" s="15"/>
      <c r="W53" s="15"/>
      <c r="X53" s="451"/>
      <c r="Y53" s="450">
        <v>1</v>
      </c>
      <c r="Z53" s="12">
        <v>6500</v>
      </c>
      <c r="AA53" s="12">
        <v>6700</v>
      </c>
      <c r="AB53" s="12">
        <v>6900</v>
      </c>
      <c r="AC53" s="126">
        <v>1</v>
      </c>
      <c r="AD53" s="329"/>
      <c r="AE53" s="15"/>
      <c r="AG53" s="12">
        <v>5470</v>
      </c>
      <c r="AH53" s="12" t="s">
        <v>172</v>
      </c>
      <c r="AI53" s="12" t="s">
        <v>435</v>
      </c>
      <c r="AJ53" s="12" t="s">
        <v>163</v>
      </c>
      <c r="AK53" s="12" t="s">
        <v>440</v>
      </c>
      <c r="AL53" s="126">
        <v>10900</v>
      </c>
      <c r="AM53" s="125">
        <v>8</v>
      </c>
      <c r="AN53" s="127">
        <v>39661</v>
      </c>
      <c r="AO53" s="128">
        <v>40026</v>
      </c>
      <c r="AP53" s="127">
        <v>39630</v>
      </c>
      <c r="AQ53" s="127">
        <v>39995</v>
      </c>
      <c r="AR53" s="127">
        <v>40360</v>
      </c>
      <c r="AS53" s="12">
        <v>1</v>
      </c>
      <c r="AT53" s="12" t="s">
        <v>184</v>
      </c>
      <c r="AU53" s="12">
        <v>0</v>
      </c>
      <c r="AV53" s="12">
        <v>3</v>
      </c>
      <c r="AW53" s="12" t="s">
        <v>187</v>
      </c>
      <c r="AX53" s="12">
        <v>5</v>
      </c>
      <c r="AY53" s="12">
        <v>1</v>
      </c>
      <c r="AZ53" s="12" t="s">
        <v>413</v>
      </c>
      <c r="BA53" s="12" t="s">
        <v>190</v>
      </c>
      <c r="BB53" s="12" t="str">
        <f>E5</f>
        <v>ADDANKI</v>
      </c>
      <c r="BC53" s="12" t="s">
        <v>213</v>
      </c>
      <c r="BD53" t="str">
        <f>CONCATENATE("MRC, ",E5)</f>
        <v>MRC, ADDANKI</v>
      </c>
      <c r="BE53" s="12">
        <v>1</v>
      </c>
      <c r="BF53" s="12" t="s">
        <v>215</v>
      </c>
      <c r="BH53" s="12">
        <v>6500</v>
      </c>
      <c r="BI53">
        <v>1</v>
      </c>
      <c r="BJ53" s="111">
        <v>40749</v>
      </c>
      <c r="BK53" s="2">
        <v>39630</v>
      </c>
    </row>
    <row r="54" spans="3:75" ht="12.75" hidden="1">
      <c r="C54">
        <f>IF(E26=N88,1,IF(E26=N89,2,IF(E26=N90,3,IF(E26=N91,4,IF(E26=N92,5,6)))))</f>
        <v>2</v>
      </c>
      <c r="D54">
        <v>1</v>
      </c>
      <c r="F54">
        <f>IF(C54=1,6,IF(C54=D55,12,IF(OR(C54=D56,C54=D58),18,24)))</f>
        <v>12</v>
      </c>
      <c r="N54" s="2">
        <f aca="true" t="shared" si="0" ref="N54:O57">F48</f>
        <v>36161</v>
      </c>
      <c r="O54" s="2">
        <f t="shared" si="0"/>
        <v>36745</v>
      </c>
      <c r="P54">
        <f>IF(N54=0,0,O54-N54+1)</f>
        <v>585</v>
      </c>
      <c r="S54" s="15"/>
      <c r="T54" s="15"/>
      <c r="U54" s="15"/>
      <c r="V54" s="15"/>
      <c r="W54" s="15"/>
      <c r="X54" s="451"/>
      <c r="Y54" s="450">
        <v>2</v>
      </c>
      <c r="Z54" s="12">
        <v>6700</v>
      </c>
      <c r="AA54" s="12">
        <f>AA53+200</f>
        <v>6900</v>
      </c>
      <c r="AB54" s="12">
        <v>7100</v>
      </c>
      <c r="AC54" s="126">
        <v>2</v>
      </c>
      <c r="AD54" s="12">
        <v>6500</v>
      </c>
      <c r="AE54" s="15"/>
      <c r="AG54" s="12">
        <v>5750</v>
      </c>
      <c r="AH54" s="12" t="s">
        <v>173</v>
      </c>
      <c r="AI54" s="12" t="s">
        <v>436</v>
      </c>
      <c r="AJ54" s="12" t="s">
        <v>164</v>
      </c>
      <c r="AK54" s="12" t="s">
        <v>438</v>
      </c>
      <c r="AL54" s="126">
        <v>11530</v>
      </c>
      <c r="AM54" s="125">
        <v>9</v>
      </c>
      <c r="AN54" s="127">
        <v>39692</v>
      </c>
      <c r="AO54" s="128">
        <v>40057</v>
      </c>
      <c r="AP54" s="127">
        <v>39661</v>
      </c>
      <c r="AQ54" s="127">
        <v>40026</v>
      </c>
      <c r="AR54" s="127">
        <v>40391</v>
      </c>
      <c r="AS54" s="12">
        <v>2</v>
      </c>
      <c r="AT54" s="12" t="s">
        <v>74</v>
      </c>
      <c r="AU54" s="12">
        <v>9</v>
      </c>
      <c r="AV54" s="12">
        <v>1</v>
      </c>
      <c r="AW54" s="12" t="s">
        <v>79</v>
      </c>
      <c r="AX54" s="12">
        <v>5</v>
      </c>
      <c r="AY54" s="12">
        <v>2</v>
      </c>
      <c r="AZ54" s="12" t="s">
        <v>414</v>
      </c>
      <c r="BA54" s="12" t="s">
        <v>191</v>
      </c>
      <c r="BB54" s="12" t="str">
        <f>CONCATENATE(E3,"  ",E4)</f>
        <v>MPPS,  CHAKRAYAPALEM</v>
      </c>
      <c r="BC54" s="12" t="s">
        <v>455</v>
      </c>
      <c r="BD54" t="str">
        <f>CONCATENATE("ZPHS, ",E4)</f>
        <v>ZPHS, CHAKRAYAPALEM</v>
      </c>
      <c r="BE54" s="12">
        <v>2</v>
      </c>
      <c r="BF54" s="12" t="s">
        <v>216</v>
      </c>
      <c r="BH54" s="12">
        <v>6700</v>
      </c>
      <c r="BI54">
        <v>2</v>
      </c>
      <c r="BJ54" s="111">
        <v>40750</v>
      </c>
      <c r="BK54" s="2">
        <v>39631</v>
      </c>
      <c r="BP54">
        <v>1</v>
      </c>
      <c r="BQ54">
        <v>2</v>
      </c>
      <c r="BR54">
        <v>3</v>
      </c>
      <c r="BS54">
        <v>4</v>
      </c>
      <c r="BT54">
        <v>5</v>
      </c>
      <c r="BU54">
        <v>6</v>
      </c>
      <c r="BV54">
        <v>7</v>
      </c>
      <c r="BW54">
        <v>8</v>
      </c>
    </row>
    <row r="55" spans="4:75" ht="12.75" hidden="1">
      <c r="D55">
        <v>2</v>
      </c>
      <c r="E55" s="18"/>
      <c r="F55" s="18"/>
      <c r="K55" s="321"/>
      <c r="L55" s="452"/>
      <c r="M55" s="452"/>
      <c r="N55" s="2">
        <f t="shared" si="0"/>
        <v>0</v>
      </c>
      <c r="O55" s="2">
        <f t="shared" si="0"/>
        <v>36334</v>
      </c>
      <c r="P55">
        <f>IF(N55=0,0,O55-N55+1)</f>
        <v>0</v>
      </c>
      <c r="Q55" s="321"/>
      <c r="R55" s="321"/>
      <c r="S55" s="15"/>
      <c r="T55" s="15"/>
      <c r="U55" s="15"/>
      <c r="V55" s="15"/>
      <c r="W55" s="15"/>
      <c r="X55" s="451"/>
      <c r="Y55" s="450">
        <v>3</v>
      </c>
      <c r="Z55" s="12">
        <f>Z54+200</f>
        <v>6900</v>
      </c>
      <c r="AA55" s="12">
        <f>AA54+200</f>
        <v>7100</v>
      </c>
      <c r="AB55" s="12">
        <v>7300</v>
      </c>
      <c r="AC55" s="126">
        <v>3</v>
      </c>
      <c r="AD55" s="12">
        <v>6700</v>
      </c>
      <c r="AE55" s="15"/>
      <c r="AG55" s="12">
        <v>7200</v>
      </c>
      <c r="AH55" s="12" t="s">
        <v>174</v>
      </c>
      <c r="AI55" s="12" t="s">
        <v>179</v>
      </c>
      <c r="AJ55" s="12" t="s">
        <v>165</v>
      </c>
      <c r="AK55" s="12" t="s">
        <v>169</v>
      </c>
      <c r="AL55" s="126">
        <v>14860</v>
      </c>
      <c r="AM55" s="125">
        <v>10</v>
      </c>
      <c r="AN55" s="127">
        <v>39722</v>
      </c>
      <c r="AO55" s="128">
        <v>40087</v>
      </c>
      <c r="AP55" s="127">
        <v>39692</v>
      </c>
      <c r="AQ55" s="127">
        <v>40057</v>
      </c>
      <c r="AR55" s="127">
        <v>40422</v>
      </c>
      <c r="AS55" s="12">
        <v>3</v>
      </c>
      <c r="AT55" s="12" t="s">
        <v>185</v>
      </c>
      <c r="AU55" s="12">
        <v>0</v>
      </c>
      <c r="AV55" s="12">
        <v>1</v>
      </c>
      <c r="AW55" s="12" t="s">
        <v>188</v>
      </c>
      <c r="AX55" s="12">
        <v>4</v>
      </c>
      <c r="AY55" s="12">
        <v>1</v>
      </c>
      <c r="AZ55" s="12" t="s">
        <v>413</v>
      </c>
      <c r="BA55" s="12" t="s">
        <v>190</v>
      </c>
      <c r="BB55" s="12" t="str">
        <f>BB53</f>
        <v>ADDANKI</v>
      </c>
      <c r="BC55" s="12" t="s">
        <v>213</v>
      </c>
      <c r="BD55" t="str">
        <f>BD53</f>
        <v>MRC, ADDANKI</v>
      </c>
      <c r="BE55" s="12">
        <v>3</v>
      </c>
      <c r="BF55" s="12" t="s">
        <v>217</v>
      </c>
      <c r="BH55" s="12">
        <f>BH54+200</f>
        <v>6900</v>
      </c>
      <c r="BI55">
        <v>3</v>
      </c>
      <c r="BJ55" s="111">
        <v>40751</v>
      </c>
      <c r="BK55" s="2">
        <v>39632</v>
      </c>
      <c r="BM55" s="111">
        <f>BP68</f>
        <v>40210</v>
      </c>
      <c r="BN55" s="111">
        <f>E82</f>
        <v>40210</v>
      </c>
      <c r="BO55" s="111">
        <f>IF(AND(E42=O107,E43=O114,BN55&gt;BN59),F69,BN55)</f>
        <v>40210</v>
      </c>
      <c r="BP55" s="111" t="str">
        <f aca="true" t="shared" si="1" ref="BP55:BW55">IF(BO55=BP68," ",BO55)</f>
        <v> </v>
      </c>
      <c r="BQ55" s="111" t="str">
        <f t="shared" si="1"/>
        <v> </v>
      </c>
      <c r="BR55" s="111" t="str">
        <f t="shared" si="1"/>
        <v> </v>
      </c>
      <c r="BS55" s="111" t="str">
        <f t="shared" si="1"/>
        <v> </v>
      </c>
      <c r="BT55" s="111" t="str">
        <f t="shared" si="1"/>
        <v> </v>
      </c>
      <c r="BU55" s="111" t="str">
        <f t="shared" si="1"/>
        <v> </v>
      </c>
      <c r="BV55" s="111" t="str">
        <f t="shared" si="1"/>
        <v> </v>
      </c>
      <c r="BW55" s="111" t="str">
        <f t="shared" si="1"/>
        <v> </v>
      </c>
    </row>
    <row r="56" spans="4:75" ht="12.75" hidden="1">
      <c r="D56">
        <v>3</v>
      </c>
      <c r="E56" s="321"/>
      <c r="F56" s="452"/>
      <c r="G56" s="452"/>
      <c r="H56" s="452"/>
      <c r="I56" s="452"/>
      <c r="K56" s="321"/>
      <c r="L56" s="452"/>
      <c r="M56" s="452"/>
      <c r="N56" s="2">
        <f t="shared" si="0"/>
        <v>0</v>
      </c>
      <c r="O56" s="2">
        <f t="shared" si="0"/>
        <v>36334</v>
      </c>
      <c r="P56">
        <f>IF(N56=0,0,O56-N56+1)</f>
        <v>0</v>
      </c>
      <c r="Q56" s="321"/>
      <c r="R56" s="321"/>
      <c r="S56" s="15"/>
      <c r="T56" s="15"/>
      <c r="U56" s="15"/>
      <c r="V56" s="15"/>
      <c r="W56" s="15"/>
      <c r="X56" s="451"/>
      <c r="Y56" s="450">
        <v>4</v>
      </c>
      <c r="Z56" s="12">
        <f>Z55+200</f>
        <v>7100</v>
      </c>
      <c r="AA56" s="12">
        <f>AA55+200</f>
        <v>7300</v>
      </c>
      <c r="AB56" s="12">
        <v>7520</v>
      </c>
      <c r="AC56" s="126">
        <v>4</v>
      </c>
      <c r="AD56" s="12">
        <f>AD55+200</f>
        <v>6900</v>
      </c>
      <c r="AE56" s="15"/>
      <c r="AG56" s="12">
        <v>7385</v>
      </c>
      <c r="AH56" s="12" t="s">
        <v>175</v>
      </c>
      <c r="AI56" s="12" t="s">
        <v>180</v>
      </c>
      <c r="AJ56" s="12" t="s">
        <v>166</v>
      </c>
      <c r="AK56" s="12" t="s">
        <v>170</v>
      </c>
      <c r="AL56" s="126">
        <v>15280</v>
      </c>
      <c r="AM56" s="125">
        <v>11</v>
      </c>
      <c r="AN56" s="127">
        <v>39753</v>
      </c>
      <c r="AO56" s="128">
        <v>40118</v>
      </c>
      <c r="AP56" s="127">
        <v>39722</v>
      </c>
      <c r="AQ56" s="127">
        <v>40087</v>
      </c>
      <c r="AR56" s="127">
        <v>40452</v>
      </c>
      <c r="AS56" s="12">
        <v>4</v>
      </c>
      <c r="AT56" s="12" t="s">
        <v>186</v>
      </c>
      <c r="AU56" s="12">
        <v>0</v>
      </c>
      <c r="AV56" s="12">
        <v>9</v>
      </c>
      <c r="AW56" s="12" t="s">
        <v>189</v>
      </c>
      <c r="AX56" s="12">
        <v>4</v>
      </c>
      <c r="AY56" s="12">
        <v>2</v>
      </c>
      <c r="AZ56" s="12" t="s">
        <v>414</v>
      </c>
      <c r="BA56" s="12" t="s">
        <v>191</v>
      </c>
      <c r="BB56" s="12" t="str">
        <f>BB54</f>
        <v>MPPS,  CHAKRAYAPALEM</v>
      </c>
      <c r="BC56" s="12" t="s">
        <v>455</v>
      </c>
      <c r="BD56" t="str">
        <f>CONCATENATE(E3," ",E4)</f>
        <v>MPPS, CHAKRAYAPALEM</v>
      </c>
      <c r="BE56" s="12">
        <v>4</v>
      </c>
      <c r="BF56" s="12" t="s">
        <v>218</v>
      </c>
      <c r="BH56" s="12">
        <f>BH55+200</f>
        <v>7100</v>
      </c>
      <c r="BI56">
        <v>4</v>
      </c>
      <c r="BJ56" s="111">
        <v>40752</v>
      </c>
      <c r="BK56" s="2">
        <v>39633</v>
      </c>
      <c r="BM56" s="111">
        <f>BQ68</f>
        <v>40452</v>
      </c>
      <c r="BN56" s="111">
        <f aca="true" t="shared" si="2" ref="BN56:BN63">E83</f>
        <v>40452</v>
      </c>
      <c r="BO56" s="111">
        <f>IF(AND(E42=O107,E43=O114,BN56&gt;BN59),F69,BN56)</f>
        <v>40452</v>
      </c>
      <c r="BP56" s="111">
        <f aca="true" t="shared" si="3" ref="BP56:BW56">IF(BO56=BP69," ",BO56)</f>
        <v>40452</v>
      </c>
      <c r="BQ56" s="111" t="str">
        <f t="shared" si="3"/>
        <v> </v>
      </c>
      <c r="BR56" s="111" t="str">
        <f t="shared" si="3"/>
        <v> </v>
      </c>
      <c r="BS56" s="111" t="str">
        <f t="shared" si="3"/>
        <v> </v>
      </c>
      <c r="BT56" s="111" t="str">
        <f t="shared" si="3"/>
        <v> </v>
      </c>
      <c r="BU56" s="111" t="str">
        <f t="shared" si="3"/>
        <v> </v>
      </c>
      <c r="BV56" s="111" t="str">
        <f t="shared" si="3"/>
        <v> </v>
      </c>
      <c r="BW56" s="111" t="str">
        <f t="shared" si="3"/>
        <v> </v>
      </c>
    </row>
    <row r="57" spans="4:75" ht="12.75" hidden="1">
      <c r="D57">
        <v>4</v>
      </c>
      <c r="E57" s="321"/>
      <c r="F57" s="452"/>
      <c r="G57" s="452"/>
      <c r="H57" s="452"/>
      <c r="I57" s="452"/>
      <c r="K57" s="321"/>
      <c r="L57" s="321"/>
      <c r="M57" s="321"/>
      <c r="N57" s="2">
        <f t="shared" si="0"/>
        <v>0</v>
      </c>
      <c r="O57" s="2">
        <f t="shared" si="0"/>
        <v>36334</v>
      </c>
      <c r="P57">
        <f>IF(N57=0,0,O57-N57+1)</f>
        <v>0</v>
      </c>
      <c r="Q57" s="321"/>
      <c r="R57" s="321"/>
      <c r="S57" s="15"/>
      <c r="T57" s="15"/>
      <c r="U57" s="15"/>
      <c r="V57" s="15"/>
      <c r="W57" s="15"/>
      <c r="X57" s="451"/>
      <c r="Y57" s="450">
        <v>5</v>
      </c>
      <c r="Z57" s="12">
        <f>Z56+200</f>
        <v>7300</v>
      </c>
      <c r="AA57" s="12">
        <f>AA56+220</f>
        <v>7520</v>
      </c>
      <c r="AB57" s="12">
        <v>7740</v>
      </c>
      <c r="AC57" s="126">
        <v>5</v>
      </c>
      <c r="AD57" s="12">
        <f>AD56+200</f>
        <v>7100</v>
      </c>
      <c r="AE57" s="15"/>
      <c r="AG57" s="12">
        <v>9285</v>
      </c>
      <c r="AH57" s="12" t="s">
        <v>176</v>
      </c>
      <c r="AI57" s="12" t="s">
        <v>437</v>
      </c>
      <c r="AJ57" s="12" t="s">
        <v>167</v>
      </c>
      <c r="AK57" s="12" t="s">
        <v>181</v>
      </c>
      <c r="AL57" s="126">
        <v>18030</v>
      </c>
      <c r="AM57" s="125">
        <v>12</v>
      </c>
      <c r="AN57" s="127">
        <v>39783</v>
      </c>
      <c r="AO57" s="128">
        <v>40148</v>
      </c>
      <c r="AP57" s="127">
        <v>39753</v>
      </c>
      <c r="AQ57" s="127">
        <v>40118</v>
      </c>
      <c r="AR57" s="127">
        <v>40483</v>
      </c>
      <c r="BE57" s="12">
        <v>5</v>
      </c>
      <c r="BF57" s="12" t="s">
        <v>219</v>
      </c>
      <c r="BH57" s="12">
        <f>BH56+200</f>
        <v>7300</v>
      </c>
      <c r="BI57">
        <v>5</v>
      </c>
      <c r="BJ57" s="111">
        <v>40753</v>
      </c>
      <c r="BK57" s="2">
        <v>39634</v>
      </c>
      <c r="BM57" s="111">
        <f>BR68</f>
        <v>40628.01</v>
      </c>
      <c r="BN57" s="111">
        <f t="shared" si="2"/>
        <v>40817</v>
      </c>
      <c r="BO57" s="111">
        <f>IF(AND(E42=O107,E43=O114,BN57&gt;BN59),F69,BN57)</f>
        <v>40817</v>
      </c>
      <c r="BP57" s="111">
        <f aca="true" t="shared" si="4" ref="BP57:BW57">IF(BO57=BP70," ",BO57)</f>
        <v>40817</v>
      </c>
      <c r="BQ57" s="111">
        <f t="shared" si="4"/>
        <v>40817</v>
      </c>
      <c r="BR57" s="111">
        <f t="shared" si="4"/>
        <v>40817</v>
      </c>
      <c r="BS57" s="111" t="str">
        <f t="shared" si="4"/>
        <v> </v>
      </c>
      <c r="BT57" s="111" t="str">
        <f t="shared" si="4"/>
        <v> </v>
      </c>
      <c r="BU57" s="111" t="str">
        <f t="shared" si="4"/>
        <v> </v>
      </c>
      <c r="BV57" s="111" t="str">
        <f t="shared" si="4"/>
        <v> </v>
      </c>
      <c r="BW57" s="111" t="str">
        <f t="shared" si="4"/>
        <v> </v>
      </c>
    </row>
    <row r="58" spans="4:75" ht="12.75" hidden="1">
      <c r="D58">
        <v>5</v>
      </c>
      <c r="E58" s="321"/>
      <c r="F58" s="452"/>
      <c r="G58" s="452"/>
      <c r="H58" s="452"/>
      <c r="I58" s="452"/>
      <c r="K58" s="321"/>
      <c r="L58" s="321"/>
      <c r="M58" s="321"/>
      <c r="N58" s="321"/>
      <c r="O58" s="321"/>
      <c r="P58" s="321"/>
      <c r="Q58" s="321"/>
      <c r="R58" s="321"/>
      <c r="S58" s="15"/>
      <c r="T58" s="15"/>
      <c r="U58" s="15"/>
      <c r="V58" s="15"/>
      <c r="W58" s="15"/>
      <c r="X58" s="451"/>
      <c r="Y58" s="450">
        <v>6</v>
      </c>
      <c r="Z58" s="12">
        <f>Z57+220</f>
        <v>7520</v>
      </c>
      <c r="AA58" s="12">
        <f>AA57+220</f>
        <v>7740</v>
      </c>
      <c r="AB58" s="12">
        <v>7960</v>
      </c>
      <c r="AC58" s="126">
        <v>6</v>
      </c>
      <c r="AD58" s="12">
        <f>AD57+200</f>
        <v>7300</v>
      </c>
      <c r="AE58" s="15"/>
      <c r="AG58" s="12">
        <v>10285</v>
      </c>
      <c r="AH58" s="12" t="s">
        <v>177</v>
      </c>
      <c r="AI58" s="12" t="s">
        <v>542</v>
      </c>
      <c r="AJ58" s="12" t="s">
        <v>168</v>
      </c>
      <c r="AK58" s="12" t="s">
        <v>543</v>
      </c>
      <c r="AL58" s="126">
        <v>19050</v>
      </c>
      <c r="AM58" s="125">
        <v>13</v>
      </c>
      <c r="AN58" s="127">
        <v>39814</v>
      </c>
      <c r="AO58" s="128">
        <v>40179</v>
      </c>
      <c r="AP58" s="127">
        <v>39783</v>
      </c>
      <c r="AQ58" s="127">
        <v>40148</v>
      </c>
      <c r="AR58" s="127">
        <v>40513</v>
      </c>
      <c r="BE58" s="12">
        <v>6</v>
      </c>
      <c r="BF58" s="12" t="s">
        <v>220</v>
      </c>
      <c r="BH58" s="12">
        <f>BH57+220</f>
        <v>7520</v>
      </c>
      <c r="BI58">
        <v>6</v>
      </c>
      <c r="BJ58" s="111">
        <v>40754</v>
      </c>
      <c r="BK58" s="2">
        <v>39635</v>
      </c>
      <c r="BM58" s="111">
        <f>BS68</f>
        <v>40817</v>
      </c>
      <c r="BN58" s="111">
        <f t="shared" si="2"/>
        <v>41183</v>
      </c>
      <c r="BO58" s="111">
        <f>IF(AND(E42=O107,E43=O114,BN58&gt;BN59),F69,BN58)</f>
        <v>41183</v>
      </c>
      <c r="BP58" s="111">
        <f aca="true" t="shared" si="5" ref="BP58:BW58">IF(BO58=BP71," ",BO58)</f>
        <v>41183</v>
      </c>
      <c r="BQ58" s="111">
        <f t="shared" si="5"/>
        <v>41183</v>
      </c>
      <c r="BR58" s="111">
        <f t="shared" si="5"/>
        <v>41183</v>
      </c>
      <c r="BS58" s="111">
        <f t="shared" si="5"/>
        <v>41183</v>
      </c>
      <c r="BT58" s="111" t="str">
        <f t="shared" si="5"/>
        <v> </v>
      </c>
      <c r="BU58" s="111" t="str">
        <f t="shared" si="5"/>
        <v> </v>
      </c>
      <c r="BV58" s="111" t="str">
        <f t="shared" si="5"/>
        <v> </v>
      </c>
      <c r="BW58" s="111" t="str">
        <f t="shared" si="5"/>
        <v> </v>
      </c>
    </row>
    <row r="59" spans="4:75" ht="12.75" hidden="1">
      <c r="D59">
        <v>6</v>
      </c>
      <c r="E59" s="321"/>
      <c r="F59" s="452"/>
      <c r="G59" s="452"/>
      <c r="H59" s="452"/>
      <c r="I59" s="452"/>
      <c r="N59" t="s">
        <v>633</v>
      </c>
      <c r="O59" t="s">
        <v>634</v>
      </c>
      <c r="P59" s="318" t="s">
        <v>635</v>
      </c>
      <c r="Q59" s="318" t="s">
        <v>636</v>
      </c>
      <c r="R59" s="318" t="s">
        <v>637</v>
      </c>
      <c r="S59" s="480" t="s">
        <v>638</v>
      </c>
      <c r="T59" s="15">
        <v>0</v>
      </c>
      <c r="U59" s="15">
        <v>0</v>
      </c>
      <c r="V59" s="15"/>
      <c r="W59" s="15"/>
      <c r="X59" s="451"/>
      <c r="Y59" s="450">
        <v>7</v>
      </c>
      <c r="Z59" s="12">
        <f>Z58+220</f>
        <v>7740</v>
      </c>
      <c r="AA59" s="12">
        <f>AA58+220</f>
        <v>7960</v>
      </c>
      <c r="AB59" s="12">
        <v>8200</v>
      </c>
      <c r="AC59" s="126">
        <v>7</v>
      </c>
      <c r="AD59" s="12">
        <f>AD58+220</f>
        <v>7520</v>
      </c>
      <c r="AE59" s="15"/>
      <c r="AG59" s="12">
        <v>10845</v>
      </c>
      <c r="AH59" s="12" t="s">
        <v>178</v>
      </c>
      <c r="AI59" s="12" t="s">
        <v>542</v>
      </c>
      <c r="AJ59" s="12" t="s">
        <v>171</v>
      </c>
      <c r="AK59" s="12" t="s">
        <v>543</v>
      </c>
      <c r="AL59" s="126">
        <v>19050</v>
      </c>
      <c r="AM59" s="125">
        <v>14</v>
      </c>
      <c r="AN59" s="127">
        <v>39845</v>
      </c>
      <c r="AO59" s="128">
        <v>40210</v>
      </c>
      <c r="AP59" s="127">
        <v>39814</v>
      </c>
      <c r="AQ59" s="127">
        <v>40179</v>
      </c>
      <c r="AR59" s="127">
        <v>40544</v>
      </c>
      <c r="BE59" s="12">
        <v>7</v>
      </c>
      <c r="BF59" s="12" t="s">
        <v>221</v>
      </c>
      <c r="BH59" s="12">
        <f>BH58+220</f>
        <v>7740</v>
      </c>
      <c r="BI59">
        <v>7</v>
      </c>
      <c r="BJ59" s="111">
        <v>40755</v>
      </c>
      <c r="BK59" s="2">
        <v>39636</v>
      </c>
      <c r="BM59" s="111">
        <f>BT68</f>
        <v>41183</v>
      </c>
      <c r="BN59" s="111">
        <f t="shared" si="2"/>
        <v>40628.01</v>
      </c>
      <c r="BO59" s="111">
        <f>BN59</f>
        <v>40628.01</v>
      </c>
      <c r="BP59" s="111">
        <f aca="true" t="shared" si="6" ref="BP59:BW59">IF(BO59=BP72," ",BO59)</f>
        <v>40628.01</v>
      </c>
      <c r="BQ59" s="111">
        <f t="shared" si="6"/>
        <v>40628.01</v>
      </c>
      <c r="BR59" s="111" t="str">
        <f t="shared" si="6"/>
        <v> </v>
      </c>
      <c r="BS59" s="111" t="str">
        <f t="shared" si="6"/>
        <v> </v>
      </c>
      <c r="BT59" s="111" t="str">
        <f t="shared" si="6"/>
        <v> </v>
      </c>
      <c r="BU59" s="111" t="str">
        <f t="shared" si="6"/>
        <v> </v>
      </c>
      <c r="BV59" s="111" t="str">
        <f t="shared" si="6"/>
        <v> </v>
      </c>
      <c r="BW59" s="111" t="str">
        <f t="shared" si="6"/>
        <v> </v>
      </c>
    </row>
    <row r="60" spans="5:75" ht="12.75" hidden="1">
      <c r="E60" s="111"/>
      <c r="M60">
        <v>1</v>
      </c>
      <c r="N60">
        <v>10900</v>
      </c>
      <c r="O60">
        <v>11530</v>
      </c>
      <c r="P60">
        <v>14860</v>
      </c>
      <c r="Q60">
        <v>18030</v>
      </c>
      <c r="R60">
        <v>11860</v>
      </c>
      <c r="S60" s="15">
        <v>15280</v>
      </c>
      <c r="T60" s="481">
        <v>10900</v>
      </c>
      <c r="U60" s="318" t="s">
        <v>440</v>
      </c>
      <c r="V60" s="318" t="s">
        <v>435</v>
      </c>
      <c r="W60" s="15"/>
      <c r="X60" s="451"/>
      <c r="Y60" s="450">
        <v>8</v>
      </c>
      <c r="Z60" s="12">
        <f>Z59+220</f>
        <v>7960</v>
      </c>
      <c r="AA60" s="12">
        <f>AA59+240</f>
        <v>8200</v>
      </c>
      <c r="AB60" s="12">
        <v>8440</v>
      </c>
      <c r="AC60" s="126">
        <v>8</v>
      </c>
      <c r="AD60" s="12">
        <f>AD59+220</f>
        <v>7740</v>
      </c>
      <c r="AE60" s="15"/>
      <c r="AM60" s="125">
        <v>15</v>
      </c>
      <c r="AN60" s="127">
        <v>39873</v>
      </c>
      <c r="AO60" s="128">
        <v>40238</v>
      </c>
      <c r="AP60" s="127">
        <v>39845</v>
      </c>
      <c r="AQ60" s="127">
        <v>40210</v>
      </c>
      <c r="AR60" s="127">
        <v>40575</v>
      </c>
      <c r="BE60" s="12">
        <v>8</v>
      </c>
      <c r="BF60" s="12" t="s">
        <v>222</v>
      </c>
      <c r="BH60" s="12">
        <f>BH59+220</f>
        <v>7960</v>
      </c>
      <c r="BI60">
        <v>8</v>
      </c>
      <c r="BJ60" s="111">
        <v>40756</v>
      </c>
      <c r="BK60" s="2">
        <v>39637</v>
      </c>
      <c r="BM60" s="111">
        <f>BU68</f>
        <v>0</v>
      </c>
      <c r="BN60" s="111">
        <f t="shared" si="2"/>
        <v>40628.01</v>
      </c>
      <c r="BO60" s="111">
        <f>IF(AND(E42=O107,E43=O114),BN60,F69)</f>
        <v>40210</v>
      </c>
      <c r="BP60" s="111" t="str">
        <f aca="true" t="shared" si="7" ref="BP60:BW60">IF(BO60=BP73," ",BO60)</f>
        <v> </v>
      </c>
      <c r="BQ60" s="111" t="str">
        <f t="shared" si="7"/>
        <v> </v>
      </c>
      <c r="BR60" s="111" t="str">
        <f t="shared" si="7"/>
        <v> </v>
      </c>
      <c r="BS60" s="111" t="str">
        <f t="shared" si="7"/>
        <v> </v>
      </c>
      <c r="BT60" s="111" t="str">
        <f t="shared" si="7"/>
        <v> </v>
      </c>
      <c r="BU60" s="111" t="str">
        <f t="shared" si="7"/>
        <v> </v>
      </c>
      <c r="BV60" s="111" t="str">
        <f t="shared" si="7"/>
        <v> </v>
      </c>
      <c r="BW60" s="111" t="str">
        <f t="shared" si="7"/>
        <v> </v>
      </c>
    </row>
    <row r="61" spans="5:75" ht="12.75" hidden="1">
      <c r="E61" s="111"/>
      <c r="M61">
        <v>2</v>
      </c>
      <c r="N61">
        <v>14860</v>
      </c>
      <c r="O61">
        <v>15280</v>
      </c>
      <c r="P61">
        <v>18030</v>
      </c>
      <c r="Q61">
        <v>18030</v>
      </c>
      <c r="R61">
        <v>16150</v>
      </c>
      <c r="S61" s="15">
        <v>18030</v>
      </c>
      <c r="T61" s="481">
        <v>11530</v>
      </c>
      <c r="U61" s="318" t="s">
        <v>639</v>
      </c>
      <c r="V61" s="318" t="s">
        <v>436</v>
      </c>
      <c r="W61" s="15"/>
      <c r="X61" s="451"/>
      <c r="Y61" s="450">
        <v>9</v>
      </c>
      <c r="Z61" s="12">
        <f>Z60+240</f>
        <v>8200</v>
      </c>
      <c r="AA61" s="12">
        <f>AA60+240</f>
        <v>8440</v>
      </c>
      <c r="AB61" s="12">
        <v>8680</v>
      </c>
      <c r="AC61" s="126">
        <v>9</v>
      </c>
      <c r="AD61" s="12">
        <f>AD60+220</f>
        <v>7960</v>
      </c>
      <c r="AE61" s="15"/>
      <c r="AM61" s="125">
        <v>16</v>
      </c>
      <c r="AN61" s="127">
        <v>39904</v>
      </c>
      <c r="AO61" s="128">
        <v>40269</v>
      </c>
      <c r="AP61" s="127">
        <v>39873</v>
      </c>
      <c r="AQ61" s="127">
        <v>40238</v>
      </c>
      <c r="AR61" s="127">
        <v>40603</v>
      </c>
      <c r="BE61" s="12">
        <v>9</v>
      </c>
      <c r="BF61" s="12" t="s">
        <v>223</v>
      </c>
      <c r="BH61" s="12">
        <f>BH60+240</f>
        <v>8200</v>
      </c>
      <c r="BI61">
        <v>9</v>
      </c>
      <c r="BJ61" s="111">
        <v>40757</v>
      </c>
      <c r="BK61" s="2">
        <v>39638</v>
      </c>
      <c r="BM61" s="111">
        <f>BV68</f>
        <v>0</v>
      </c>
      <c r="BN61" s="111">
        <f t="shared" si="2"/>
        <v>40628.01</v>
      </c>
      <c r="BO61" s="111">
        <f>IF(AND(E42=O107,E43=O114),BN61,F69)</f>
        <v>40210</v>
      </c>
      <c r="BP61" s="111" t="str">
        <f aca="true" t="shared" si="8" ref="BP61:BW61">IF(BO61=BP74," ",BO61)</f>
        <v> </v>
      </c>
      <c r="BQ61" s="111" t="str">
        <f t="shared" si="8"/>
        <v> </v>
      </c>
      <c r="BR61" s="111" t="str">
        <f t="shared" si="8"/>
        <v> </v>
      </c>
      <c r="BS61" s="111" t="str">
        <f t="shared" si="8"/>
        <v> </v>
      </c>
      <c r="BT61" s="111" t="str">
        <f t="shared" si="8"/>
        <v> </v>
      </c>
      <c r="BU61" s="111" t="str">
        <f t="shared" si="8"/>
        <v> </v>
      </c>
      <c r="BV61" s="111" t="str">
        <f t="shared" si="8"/>
        <v> </v>
      </c>
      <c r="BW61" s="111" t="str">
        <f t="shared" si="8"/>
        <v> </v>
      </c>
    </row>
    <row r="62" spans="3:75" ht="12.75" hidden="1">
      <c r="C62" s="2" t="s">
        <v>590</v>
      </c>
      <c r="E62" s="111"/>
      <c r="M62">
        <v>3</v>
      </c>
      <c r="N62">
        <v>18030</v>
      </c>
      <c r="O62" s="117">
        <v>19050</v>
      </c>
      <c r="P62">
        <v>19050</v>
      </c>
      <c r="Q62">
        <v>21820</v>
      </c>
      <c r="R62">
        <v>19050</v>
      </c>
      <c r="S62" s="15">
        <v>20680</v>
      </c>
      <c r="T62" s="481">
        <v>11860</v>
      </c>
      <c r="U62" s="318" t="s">
        <v>640</v>
      </c>
      <c r="V62" s="318" t="s">
        <v>665</v>
      </c>
      <c r="W62" s="15"/>
      <c r="X62" s="451"/>
      <c r="Y62" s="450">
        <v>10</v>
      </c>
      <c r="Z62" s="12">
        <f>Z61+240</f>
        <v>8440</v>
      </c>
      <c r="AA62" s="12">
        <f>AA61+240</f>
        <v>8680</v>
      </c>
      <c r="AB62" s="12">
        <v>8940</v>
      </c>
      <c r="AC62" s="126">
        <v>10</v>
      </c>
      <c r="AD62" s="12">
        <f>AD61+240</f>
        <v>8200</v>
      </c>
      <c r="AE62" s="15"/>
      <c r="AL62">
        <v>0</v>
      </c>
      <c r="AM62" s="125">
        <v>17</v>
      </c>
      <c r="AN62" s="127">
        <v>39934</v>
      </c>
      <c r="AO62" s="128">
        <v>40299</v>
      </c>
      <c r="AP62" s="127">
        <v>39904</v>
      </c>
      <c r="AQ62" s="127">
        <v>40269</v>
      </c>
      <c r="AR62" s="127">
        <v>40634</v>
      </c>
      <c r="BE62" s="12">
        <v>10</v>
      </c>
      <c r="BF62" s="12" t="s">
        <v>224</v>
      </c>
      <c r="BH62" s="12">
        <f>BH61+240</f>
        <v>8440</v>
      </c>
      <c r="BI62">
        <v>10</v>
      </c>
      <c r="BJ62" s="111">
        <v>40758</v>
      </c>
      <c r="BK62" s="2">
        <v>39639</v>
      </c>
      <c r="BM62" s="111">
        <f>BW68</f>
        <v>0</v>
      </c>
      <c r="BN62" s="111">
        <f t="shared" si="2"/>
        <v>40210</v>
      </c>
      <c r="BO62" s="111">
        <f>BN62</f>
        <v>40210</v>
      </c>
      <c r="BP62" s="111" t="str">
        <f aca="true" t="shared" si="9" ref="BP62:BW63">IF(BO62=BP75," ",BO62)</f>
        <v> </v>
      </c>
      <c r="BQ62" s="111" t="str">
        <f t="shared" si="9"/>
        <v> </v>
      </c>
      <c r="BR62" s="111" t="str">
        <f t="shared" si="9"/>
        <v> </v>
      </c>
      <c r="BS62" s="111" t="str">
        <f t="shared" si="9"/>
        <v> </v>
      </c>
      <c r="BT62" s="111" t="str">
        <f t="shared" si="9"/>
        <v> </v>
      </c>
      <c r="BU62" s="111" t="str">
        <f t="shared" si="9"/>
        <v> </v>
      </c>
      <c r="BV62" s="111" t="str">
        <f t="shared" si="9"/>
        <v> </v>
      </c>
      <c r="BW62" s="111" t="str">
        <f t="shared" si="9"/>
        <v> </v>
      </c>
    </row>
    <row r="63" spans="3:76" ht="12.75" hidden="1">
      <c r="C63" t="s">
        <v>591</v>
      </c>
      <c r="E63" s="157">
        <f>DATE(YEAR(E64)+F54,MONTH(E64),DAY(E64))</f>
        <v>41929</v>
      </c>
      <c r="G63">
        <f>IF(E63&lt;E67,1,2)</f>
        <v>2</v>
      </c>
      <c r="O63" s="111"/>
      <c r="S63" s="15"/>
      <c r="T63" s="481">
        <v>14860</v>
      </c>
      <c r="U63" s="318" t="s">
        <v>169</v>
      </c>
      <c r="V63" s="318" t="s">
        <v>179</v>
      </c>
      <c r="W63" s="15"/>
      <c r="X63" s="451"/>
      <c r="Y63" s="450">
        <v>11</v>
      </c>
      <c r="Z63" s="12">
        <f>Z62+240</f>
        <v>8680</v>
      </c>
      <c r="AA63" s="12">
        <f>AA62+260</f>
        <v>8940</v>
      </c>
      <c r="AB63" s="12">
        <v>9200</v>
      </c>
      <c r="AC63" s="126">
        <v>11</v>
      </c>
      <c r="AD63" s="12">
        <f>AD62+240</f>
        <v>8440</v>
      </c>
      <c r="AE63" s="15"/>
      <c r="AM63" s="125">
        <v>18</v>
      </c>
      <c r="AN63" s="127">
        <v>39965</v>
      </c>
      <c r="AO63" s="128">
        <v>40330</v>
      </c>
      <c r="AP63" s="127">
        <v>39934</v>
      </c>
      <c r="AQ63" s="127">
        <v>40299</v>
      </c>
      <c r="AR63" s="127">
        <v>40664</v>
      </c>
      <c r="BE63" s="12">
        <v>11</v>
      </c>
      <c r="BF63" s="12" t="s">
        <v>225</v>
      </c>
      <c r="BH63" s="12">
        <f>BH62+240</f>
        <v>8680</v>
      </c>
      <c r="BI63">
        <v>11</v>
      </c>
      <c r="BJ63" s="111">
        <v>40759</v>
      </c>
      <c r="BK63" s="2">
        <v>39640</v>
      </c>
      <c r="BN63" s="111">
        <f t="shared" si="2"/>
        <v>40210</v>
      </c>
      <c r="BO63" s="111">
        <f>BN63</f>
        <v>40210</v>
      </c>
      <c r="BP63" s="111" t="str">
        <f t="shared" si="9"/>
        <v> </v>
      </c>
      <c r="BQ63" s="111" t="str">
        <f aca="true" t="shared" si="10" ref="BQ63:BX63">IF(BP63=BQ76," ",BP63)</f>
        <v> </v>
      </c>
      <c r="BR63" s="111" t="str">
        <f t="shared" si="10"/>
        <v> </v>
      </c>
      <c r="BS63" s="111" t="str">
        <f t="shared" si="10"/>
        <v> </v>
      </c>
      <c r="BT63" s="111" t="str">
        <f t="shared" si="10"/>
        <v> </v>
      </c>
      <c r="BU63" s="111" t="str">
        <f t="shared" si="10"/>
        <v> </v>
      </c>
      <c r="BV63" s="111" t="str">
        <f t="shared" si="10"/>
        <v> </v>
      </c>
      <c r="BW63" s="111" t="str">
        <f t="shared" si="10"/>
        <v> </v>
      </c>
      <c r="BX63" s="111" t="str">
        <f t="shared" si="10"/>
        <v> </v>
      </c>
    </row>
    <row r="64" spans="3:75" ht="12.75" hidden="1">
      <c r="C64" t="s">
        <v>592</v>
      </c>
      <c r="E64" s="111">
        <f>E135+E65</f>
        <v>37546</v>
      </c>
      <c r="G64" s="456">
        <f>E64+2*(3*365+366)</f>
        <v>40468</v>
      </c>
      <c r="H64" s="111">
        <f>IF(AND(G64&lt;=E136,G64&gt;BC165),G64,0)</f>
        <v>40468</v>
      </c>
      <c r="I64">
        <f>IF(H64=0,0,1)</f>
        <v>1</v>
      </c>
      <c r="K64" s="318" t="s">
        <v>648</v>
      </c>
      <c r="M64">
        <f>IF(E25=Q122,3,IF(OR(E25=Q123,E25=Q124,E25=Q125,E25=Q126,E25=Q127,E25=Q128,E25=Q129,E25=Q130,E25=Q136,E25=Q137),2,1))</f>
        <v>1</v>
      </c>
      <c r="N64">
        <f>VLOOKUP(M64,M60:S62,M65+1,TRUE)</f>
        <v>11530</v>
      </c>
      <c r="O64" t="str">
        <f>VLOOKUP(N64,T59:U69,2,TRUE)</f>
        <v>11530-330-12190-360-13270-390-14440-420-15700-450-17050-490-18520-530-20110-570-21820-610-23650-650-25600-700-27700-750-29950-800-32350-850-33200</v>
      </c>
      <c r="S64" s="15"/>
      <c r="T64" s="481">
        <v>15280</v>
      </c>
      <c r="U64" s="318" t="s">
        <v>641</v>
      </c>
      <c r="V64" s="318" t="s">
        <v>180</v>
      </c>
      <c r="W64" s="15"/>
      <c r="X64" s="451"/>
      <c r="Y64" s="450">
        <v>12</v>
      </c>
      <c r="Z64" s="12">
        <f>Z63+260</f>
        <v>8940</v>
      </c>
      <c r="AA64" s="12">
        <f>AA63+260</f>
        <v>9200</v>
      </c>
      <c r="AB64" s="12">
        <v>9460</v>
      </c>
      <c r="AC64" s="126">
        <v>12</v>
      </c>
      <c r="AD64" s="12">
        <f>AD63+240</f>
        <v>8680</v>
      </c>
      <c r="AE64" s="15"/>
      <c r="AM64" s="125">
        <v>19</v>
      </c>
      <c r="AN64" s="127">
        <v>39995</v>
      </c>
      <c r="AO64" s="128">
        <v>40360</v>
      </c>
      <c r="AP64" s="127">
        <v>39965</v>
      </c>
      <c r="AQ64" s="127">
        <v>40330</v>
      </c>
      <c r="AR64" s="127">
        <v>40695</v>
      </c>
      <c r="BE64" s="12">
        <v>12</v>
      </c>
      <c r="BF64" s="12" t="s">
        <v>226</v>
      </c>
      <c r="BH64" s="12">
        <f>BH63+260</f>
        <v>8940</v>
      </c>
      <c r="BI64">
        <v>12</v>
      </c>
      <c r="BJ64" s="111">
        <v>40760</v>
      </c>
      <c r="BK64" s="2">
        <v>39641</v>
      </c>
      <c r="BO64" s="111"/>
      <c r="BP64" s="111"/>
      <c r="BQ64" s="111"/>
      <c r="BR64" s="111"/>
      <c r="BS64" s="111"/>
      <c r="BT64" s="111"/>
      <c r="BU64" s="111"/>
      <c r="BV64" s="111"/>
      <c r="BW64" s="111"/>
    </row>
    <row r="65" spans="3:63" ht="12.75" hidden="1">
      <c r="C65" t="s">
        <v>590</v>
      </c>
      <c r="D65" s="321"/>
      <c r="E65" s="454">
        <f>IF(E47=O108,0,SUM(P54:P57))</f>
        <v>0</v>
      </c>
      <c r="F65" s="321"/>
      <c r="G65" s="457">
        <f>E64+4*(3*365+366)</f>
        <v>43390</v>
      </c>
      <c r="H65" s="111">
        <f>IF(AND(G65&lt;=E136,G65&gt;BC165),G65,0)</f>
        <v>0</v>
      </c>
      <c r="I65">
        <f>IF(H65=0,0,1)</f>
        <v>0</v>
      </c>
      <c r="J65" s="452"/>
      <c r="K65" s="452"/>
      <c r="L65" s="452"/>
      <c r="M65">
        <f>IF(E26=N88,1,IF(E26=N89,2,IF(E26=N90,3,IF(E26=N91,4,IF(E26=N92,5,6)))))</f>
        <v>2</v>
      </c>
      <c r="S65" s="15"/>
      <c r="T65" s="481">
        <v>16150</v>
      </c>
      <c r="U65" s="318" t="s">
        <v>642</v>
      </c>
      <c r="V65" s="318" t="s">
        <v>666</v>
      </c>
      <c r="W65" s="15"/>
      <c r="X65" s="451"/>
      <c r="Y65" s="450">
        <v>13</v>
      </c>
      <c r="Z65" s="12">
        <f>Z64+260</f>
        <v>9200</v>
      </c>
      <c r="AA65" s="12">
        <f>AA64+260</f>
        <v>9460</v>
      </c>
      <c r="AB65" s="12">
        <v>9740</v>
      </c>
      <c r="AC65" s="126">
        <v>13</v>
      </c>
      <c r="AD65" s="12">
        <f>AD64+260</f>
        <v>8940</v>
      </c>
      <c r="AE65" s="15"/>
      <c r="AM65" s="125">
        <v>0</v>
      </c>
      <c r="AN65" s="127">
        <v>0</v>
      </c>
      <c r="AO65" s="128">
        <v>0</v>
      </c>
      <c r="AP65" s="127">
        <v>39995</v>
      </c>
      <c r="AQ65" s="127">
        <v>40360</v>
      </c>
      <c r="AR65" s="127">
        <v>40725</v>
      </c>
      <c r="BE65" s="12">
        <v>13</v>
      </c>
      <c r="BF65" s="12" t="s">
        <v>227</v>
      </c>
      <c r="BH65" s="12">
        <f>BH64+260</f>
        <v>9200</v>
      </c>
      <c r="BI65">
        <v>13</v>
      </c>
      <c r="BJ65" s="111">
        <v>40761</v>
      </c>
      <c r="BK65" s="2">
        <v>39642</v>
      </c>
    </row>
    <row r="66" spans="3:63" ht="12.75" hidden="1">
      <c r="C66" t="s">
        <v>593</v>
      </c>
      <c r="D66" s="321"/>
      <c r="E66" s="324">
        <f>IF(E42="YES",E139,E136+1)</f>
        <v>40628.01</v>
      </c>
      <c r="F66" s="321"/>
      <c r="G66" s="457">
        <f>E64+6*(3*365+366)</f>
        <v>46312</v>
      </c>
      <c r="H66" s="111">
        <f>IF(AND(G66&lt;=E136,G66&gt;BC165),G66,0)</f>
        <v>0</v>
      </c>
      <c r="I66">
        <f>IF(H66=0,0,1)</f>
        <v>0</v>
      </c>
      <c r="J66" s="452"/>
      <c r="K66" s="452"/>
      <c r="L66" s="452"/>
      <c r="M66">
        <f>IF(E27=N96,1,IF(E27=N97,2,3))</f>
        <v>1</v>
      </c>
      <c r="S66" s="15"/>
      <c r="T66" s="481">
        <v>18030</v>
      </c>
      <c r="U66" s="318" t="s">
        <v>643</v>
      </c>
      <c r="V66" s="318" t="s">
        <v>437</v>
      </c>
      <c r="W66" s="15"/>
      <c r="X66" s="451"/>
      <c r="Y66" s="450">
        <v>14</v>
      </c>
      <c r="Z66" s="12">
        <f>Z65+260</f>
        <v>9460</v>
      </c>
      <c r="AA66" s="12">
        <f>AA65+280</f>
        <v>9740</v>
      </c>
      <c r="AB66" s="12">
        <v>10020</v>
      </c>
      <c r="AC66" s="126">
        <v>14</v>
      </c>
      <c r="AD66" s="12">
        <f>AD65+260</f>
        <v>9200</v>
      </c>
      <c r="AE66" s="15"/>
      <c r="AM66" s="127">
        <v>40179</v>
      </c>
      <c r="AN66" s="127">
        <v>42.39</v>
      </c>
      <c r="AO66" s="125">
        <v>16.264</v>
      </c>
      <c r="AP66" s="127">
        <v>40026</v>
      </c>
      <c r="AQ66" s="127">
        <v>40391</v>
      </c>
      <c r="AR66" s="127">
        <v>40756</v>
      </c>
      <c r="BE66" s="12">
        <v>14</v>
      </c>
      <c r="BF66" s="12" t="s">
        <v>228</v>
      </c>
      <c r="BH66" s="12">
        <f>BH65+260</f>
        <v>9460</v>
      </c>
      <c r="BI66">
        <v>14</v>
      </c>
      <c r="BJ66" s="111">
        <v>40762</v>
      </c>
      <c r="BK66" s="2">
        <v>39643</v>
      </c>
    </row>
    <row r="67" spans="3:75" ht="12.75" hidden="1">
      <c r="C67" t="s">
        <v>594</v>
      </c>
      <c r="D67" s="321"/>
      <c r="E67" s="324">
        <f>MIN(E66,E136+1)</f>
        <v>40628.01</v>
      </c>
      <c r="F67" s="321"/>
      <c r="G67" s="324">
        <f>MAX(H64:H66)</f>
        <v>40468</v>
      </c>
      <c r="H67" s="452">
        <f>IF(E41=O107,1,2)</f>
        <v>2</v>
      </c>
      <c r="I67" s="452">
        <f>SUM(I64:I66)</f>
        <v>1</v>
      </c>
      <c r="J67" s="452"/>
      <c r="K67" s="452"/>
      <c r="L67" s="482" t="s">
        <v>669</v>
      </c>
      <c r="M67">
        <f>IF(E45=Q122,3,IF(OR(E45=Q123,E45=Q124,E45=Q125,E45=Q126,E45=Q127,E45=Q128,E45=Q129,E45=Q130,E45=Q136,E45=Q137),2,1))</f>
        <v>3</v>
      </c>
      <c r="N67">
        <f>VLOOKUP(M67,M60:S62,2,TRUE)</f>
        <v>18030</v>
      </c>
      <c r="O67" t="str">
        <f>VLOOKUP(N67,T60:V69,3,TRUE)</f>
        <v>18030-43630</v>
      </c>
      <c r="S67" s="15"/>
      <c r="T67" s="481">
        <v>19050</v>
      </c>
      <c r="U67" s="318" t="s">
        <v>644</v>
      </c>
      <c r="V67" s="318" t="s">
        <v>542</v>
      </c>
      <c r="W67" s="15"/>
      <c r="X67" s="451"/>
      <c r="Y67" s="450">
        <v>15</v>
      </c>
      <c r="Z67" s="12">
        <f>Z66+280</f>
        <v>9740</v>
      </c>
      <c r="AA67" s="12">
        <f>AA66+280</f>
        <v>10020</v>
      </c>
      <c r="AB67" s="12">
        <v>10300</v>
      </c>
      <c r="AC67" s="126">
        <v>15</v>
      </c>
      <c r="AD67" s="12">
        <f>AD66+260</f>
        <v>9460</v>
      </c>
      <c r="AE67" s="15"/>
      <c r="AM67" s="127">
        <v>40360</v>
      </c>
      <c r="AN67" s="127">
        <v>51.81</v>
      </c>
      <c r="AO67" s="125">
        <v>24.824</v>
      </c>
      <c r="AP67" s="127">
        <v>40057</v>
      </c>
      <c r="AQ67" s="127">
        <v>40422</v>
      </c>
      <c r="AR67" s="127">
        <v>40787</v>
      </c>
      <c r="BE67" s="12">
        <v>15</v>
      </c>
      <c r="BF67" s="12" t="s">
        <v>229</v>
      </c>
      <c r="BH67" s="12">
        <f>BH66+280</f>
        <v>9740</v>
      </c>
      <c r="BI67">
        <v>15</v>
      </c>
      <c r="BJ67" s="111">
        <v>40763</v>
      </c>
      <c r="BK67" s="2">
        <v>39644</v>
      </c>
      <c r="BP67">
        <v>1</v>
      </c>
      <c r="BQ67">
        <v>2</v>
      </c>
      <c r="BR67">
        <v>3</v>
      </c>
      <c r="BS67">
        <v>4</v>
      </c>
      <c r="BT67">
        <v>5</v>
      </c>
      <c r="BU67">
        <v>6</v>
      </c>
      <c r="BV67">
        <v>7</v>
      </c>
      <c r="BW67">
        <v>8</v>
      </c>
    </row>
    <row r="68" spans="3:76" ht="12.75" hidden="1">
      <c r="C68" s="318" t="s">
        <v>595</v>
      </c>
      <c r="D68" s="321"/>
      <c r="E68" s="324">
        <f>E137</f>
        <v>40269.001</v>
      </c>
      <c r="F68" s="463">
        <v>40210</v>
      </c>
      <c r="G68" s="452"/>
      <c r="H68" s="452"/>
      <c r="I68" s="539" t="str">
        <f>IF(I67=0," ",IF(I64&lt;&gt;0,"8 years AAS taken in 8/16/24 on",IF(I65&lt;&gt;0,"16 years AAS taken in 8/16/24 on",IF(I66&lt;&gt;0,"24years AAS taken in 8/16/24 on"," "))))</f>
        <v>8 years AAS taken in 8/16/24 on</v>
      </c>
      <c r="J68" s="452"/>
      <c r="K68" s="321"/>
      <c r="L68" s="321"/>
      <c r="M68" s="318">
        <v>1</v>
      </c>
      <c r="N68">
        <v>2</v>
      </c>
      <c r="O68">
        <v>3</v>
      </c>
      <c r="S68" s="15"/>
      <c r="T68" s="481">
        <v>20680</v>
      </c>
      <c r="U68" s="318" t="s">
        <v>645</v>
      </c>
      <c r="V68" s="318" t="s">
        <v>667</v>
      </c>
      <c r="W68" s="15"/>
      <c r="X68" s="451"/>
      <c r="Y68" s="450">
        <v>16</v>
      </c>
      <c r="Z68" s="12">
        <f>Z67+280</f>
        <v>10020</v>
      </c>
      <c r="AA68" s="12">
        <f>AA67+280</f>
        <v>10300</v>
      </c>
      <c r="AB68" s="12">
        <v>10600</v>
      </c>
      <c r="AC68" s="126">
        <v>16</v>
      </c>
      <c r="AD68" s="12">
        <f>AD67+280</f>
        <v>9740</v>
      </c>
      <c r="AE68" s="15"/>
      <c r="AM68" s="127">
        <v>40544</v>
      </c>
      <c r="AN68" s="127">
        <v>60.288</v>
      </c>
      <c r="AO68" s="125">
        <v>29.96</v>
      </c>
      <c r="AP68" s="127">
        <v>40087</v>
      </c>
      <c r="AQ68" s="127">
        <v>40452</v>
      </c>
      <c r="AR68" s="127">
        <v>40817</v>
      </c>
      <c r="BE68" s="12">
        <v>16</v>
      </c>
      <c r="BF68" s="12" t="s">
        <v>230</v>
      </c>
      <c r="BH68" s="12">
        <f>BH67+280</f>
        <v>10020</v>
      </c>
      <c r="BI68">
        <v>16</v>
      </c>
      <c r="BJ68" s="111">
        <v>40764</v>
      </c>
      <c r="BK68" s="2">
        <v>39645</v>
      </c>
      <c r="BO68">
        <v>1</v>
      </c>
      <c r="BP68" s="111">
        <f>MIN(BO55:BO63)</f>
        <v>40210</v>
      </c>
      <c r="BQ68" s="111">
        <f aca="true" t="shared" si="11" ref="BQ68:BX68">MIN(BP55:BP63)</f>
        <v>40452</v>
      </c>
      <c r="BR68" s="111">
        <f t="shared" si="11"/>
        <v>40628.01</v>
      </c>
      <c r="BS68" s="111">
        <f t="shared" si="11"/>
        <v>40817</v>
      </c>
      <c r="BT68" s="111">
        <f t="shared" si="11"/>
        <v>41183</v>
      </c>
      <c r="BU68" s="111">
        <f t="shared" si="11"/>
        <v>0</v>
      </c>
      <c r="BV68" s="111">
        <f t="shared" si="11"/>
        <v>0</v>
      </c>
      <c r="BW68" s="111">
        <f t="shared" si="11"/>
        <v>0</v>
      </c>
      <c r="BX68" s="111">
        <f t="shared" si="11"/>
        <v>0</v>
      </c>
    </row>
    <row r="69" spans="3:76" ht="12.75" hidden="1">
      <c r="C69" s="318" t="s">
        <v>596</v>
      </c>
      <c r="D69" s="321"/>
      <c r="E69" s="458">
        <f>IF(H67=1,G67,F69)</f>
        <v>40210</v>
      </c>
      <c r="F69" s="324">
        <f>MIN(E66,F68)</f>
        <v>40210</v>
      </c>
      <c r="G69" s="324">
        <f>IF(E42=O107,E139,E136)</f>
        <v>40628.01</v>
      </c>
      <c r="H69" s="321"/>
      <c r="I69" s="321"/>
      <c r="J69" s="321"/>
      <c r="K69" s="321"/>
      <c r="L69" s="321">
        <v>6</v>
      </c>
      <c r="M69" s="318">
        <v>2</v>
      </c>
      <c r="N69" s="318">
        <f>M69</f>
        <v>2</v>
      </c>
      <c r="O69" s="318">
        <f>N69</f>
        <v>2</v>
      </c>
      <c r="Q69" s="2"/>
      <c r="S69" s="15"/>
      <c r="T69" s="481">
        <v>21820</v>
      </c>
      <c r="U69" s="318" t="s">
        <v>646</v>
      </c>
      <c r="V69" s="318" t="s">
        <v>668</v>
      </c>
      <c r="W69" s="15"/>
      <c r="X69" s="451"/>
      <c r="Y69" s="450">
        <v>17</v>
      </c>
      <c r="Z69" s="12">
        <f>Z68+280</f>
        <v>10300</v>
      </c>
      <c r="AA69" s="12">
        <f>AA68+300</f>
        <v>10600</v>
      </c>
      <c r="AB69" s="12">
        <v>10900</v>
      </c>
      <c r="AC69" s="126">
        <v>17</v>
      </c>
      <c r="AD69" s="12">
        <f>AD68+280</f>
        <v>10020</v>
      </c>
      <c r="AE69" s="15"/>
      <c r="AM69" s="127">
        <v>40725</v>
      </c>
      <c r="AN69" s="127">
        <v>60.288</v>
      </c>
      <c r="AO69" s="125">
        <v>29.96</v>
      </c>
      <c r="AP69" s="127">
        <v>40118</v>
      </c>
      <c r="AQ69" s="127">
        <v>40483</v>
      </c>
      <c r="AR69" s="127">
        <v>40848</v>
      </c>
      <c r="BE69" s="12">
        <v>17</v>
      </c>
      <c r="BF69" s="12" t="s">
        <v>231</v>
      </c>
      <c r="BH69" s="12">
        <f>BH68+280</f>
        <v>10300</v>
      </c>
      <c r="BI69">
        <v>17</v>
      </c>
      <c r="BJ69" s="111">
        <v>40765</v>
      </c>
      <c r="BK69" s="2">
        <v>39646</v>
      </c>
      <c r="BO69">
        <v>2</v>
      </c>
      <c r="BP69" s="111">
        <f>BP68</f>
        <v>40210</v>
      </c>
      <c r="BQ69" s="111">
        <f>BQ68</f>
        <v>40452</v>
      </c>
      <c r="BR69" s="111">
        <f>BR68</f>
        <v>40628.01</v>
      </c>
      <c r="BS69" s="111">
        <f>BS68</f>
        <v>40817</v>
      </c>
      <c r="BT69" s="111">
        <f aca="true" t="shared" si="12" ref="BT69:BT77">BT68</f>
        <v>41183</v>
      </c>
      <c r="BU69" s="111">
        <f aca="true" t="shared" si="13" ref="BU69:BU77">BU68</f>
        <v>0</v>
      </c>
      <c r="BV69" s="111">
        <f aca="true" t="shared" si="14" ref="BV69:BV77">BV68</f>
        <v>0</v>
      </c>
      <c r="BW69" s="111">
        <f aca="true" t="shared" si="15" ref="BW69:BW77">BW68</f>
        <v>0</v>
      </c>
      <c r="BX69" s="111">
        <f aca="true" t="shared" si="16" ref="BX69:BX77">MIN(BW56:BW64)</f>
        <v>0</v>
      </c>
    </row>
    <row r="70" spans="3:76" ht="12.75" hidden="1">
      <c r="C70" s="318" t="s">
        <v>600</v>
      </c>
      <c r="E70" s="111">
        <f>IF(E63&lt;E67,E63,F68)</f>
        <v>40210</v>
      </c>
      <c r="F70" s="111">
        <f>IF(E70&lt;F68,F68,E70)</f>
        <v>40210</v>
      </c>
      <c r="G70" s="2">
        <f>DATE(YEAR(E70),MONTH(E70),1)</f>
        <v>40210</v>
      </c>
      <c r="L70">
        <v>12</v>
      </c>
      <c r="M70" s="318">
        <v>3</v>
      </c>
      <c r="N70" s="318">
        <v>3</v>
      </c>
      <c r="O70" s="318">
        <v>5</v>
      </c>
      <c r="Q70" s="2"/>
      <c r="S70" s="15"/>
      <c r="T70" s="15"/>
      <c r="U70" s="15"/>
      <c r="V70" s="15"/>
      <c r="W70" s="15"/>
      <c r="X70" s="451"/>
      <c r="Y70" s="450">
        <v>18</v>
      </c>
      <c r="Z70" s="12">
        <f>Z69+300</f>
        <v>10600</v>
      </c>
      <c r="AA70" s="12">
        <f>AA69+300</f>
        <v>10900</v>
      </c>
      <c r="AB70" s="12">
        <v>11200</v>
      </c>
      <c r="AC70" s="126">
        <v>18</v>
      </c>
      <c r="AD70" s="12">
        <f>AD69+280</f>
        <v>10300</v>
      </c>
      <c r="AE70" s="15"/>
      <c r="AM70" s="117"/>
      <c r="AN70" s="117">
        <f>IF(E37=N114,12,IF(E37=N115,14.5,E37))</f>
        <v>12</v>
      </c>
      <c r="AO70" s="467">
        <f>IF(E37=N114,10,IF(E37=N115,12.5,E37))</f>
        <v>10</v>
      </c>
      <c r="AP70" s="127">
        <v>40148</v>
      </c>
      <c r="AQ70" s="127">
        <v>40513</v>
      </c>
      <c r="AR70" s="127">
        <v>40878</v>
      </c>
      <c r="BE70" s="12">
        <v>18</v>
      </c>
      <c r="BF70" s="12" t="s">
        <v>232</v>
      </c>
      <c r="BH70" s="12">
        <f>BH69+300</f>
        <v>10600</v>
      </c>
      <c r="BI70">
        <v>18</v>
      </c>
      <c r="BJ70" s="111">
        <v>40766</v>
      </c>
      <c r="BK70" s="2">
        <v>39647</v>
      </c>
      <c r="BO70">
        <v>3</v>
      </c>
      <c r="BP70" s="111">
        <f aca="true" t="shared" si="17" ref="BP70:BP77">BP69</f>
        <v>40210</v>
      </c>
      <c r="BQ70" s="111">
        <f aca="true" t="shared" si="18" ref="BQ70:BQ77">BQ69</f>
        <v>40452</v>
      </c>
      <c r="BR70" s="111">
        <f aca="true" t="shared" si="19" ref="BR70:BR77">BR69</f>
        <v>40628.01</v>
      </c>
      <c r="BS70" s="111">
        <f aca="true" t="shared" si="20" ref="BS70:BS77">BS69</f>
        <v>40817</v>
      </c>
      <c r="BT70" s="111">
        <f t="shared" si="12"/>
        <v>41183</v>
      </c>
      <c r="BU70" s="111">
        <f t="shared" si="13"/>
        <v>0</v>
      </c>
      <c r="BV70" s="111">
        <f t="shared" si="14"/>
        <v>0</v>
      </c>
      <c r="BW70" s="111">
        <f t="shared" si="15"/>
        <v>0</v>
      </c>
      <c r="BX70" s="111">
        <f t="shared" si="16"/>
        <v>0</v>
      </c>
    </row>
    <row r="71" spans="3:76" ht="12.75" hidden="1">
      <c r="C71" s="318"/>
      <c r="E71" s="111"/>
      <c r="F71" s="111"/>
      <c r="I71" s="111"/>
      <c r="L71">
        <v>18</v>
      </c>
      <c r="M71" s="318">
        <v>4</v>
      </c>
      <c r="N71" s="318">
        <v>4</v>
      </c>
      <c r="O71" s="318">
        <v>6</v>
      </c>
      <c r="S71" s="15"/>
      <c r="T71" s="15"/>
      <c r="U71" s="15"/>
      <c r="V71" s="15"/>
      <c r="W71" s="15"/>
      <c r="X71" s="451"/>
      <c r="Y71" s="450">
        <v>19</v>
      </c>
      <c r="Z71" s="12">
        <f>Z70+300</f>
        <v>10900</v>
      </c>
      <c r="AA71" s="12">
        <f>AA70+300</f>
        <v>11200</v>
      </c>
      <c r="AB71" s="12">
        <v>11530</v>
      </c>
      <c r="AC71" s="126">
        <v>19</v>
      </c>
      <c r="AD71" s="12">
        <f>AD70+300</f>
        <v>10600</v>
      </c>
      <c r="AE71" s="15"/>
      <c r="AM71" s="117"/>
      <c r="AN71" s="117">
        <f>IF(E38=N114,12,IF(E38=N115,14.5,E38))</f>
        <v>12</v>
      </c>
      <c r="AO71" s="467">
        <f>IF(E38=N114,10,IF(E38=N115,12.5,E38))</f>
        <v>10</v>
      </c>
      <c r="AP71" s="127">
        <v>40179</v>
      </c>
      <c r="AQ71" s="127">
        <v>40544</v>
      </c>
      <c r="AR71" s="127">
        <v>40909</v>
      </c>
      <c r="BE71" s="12">
        <v>19</v>
      </c>
      <c r="BF71" s="12" t="s">
        <v>411</v>
      </c>
      <c r="BH71" s="12">
        <f>BH70+300</f>
        <v>10900</v>
      </c>
      <c r="BI71">
        <v>19</v>
      </c>
      <c r="BJ71" s="111">
        <v>40767</v>
      </c>
      <c r="BK71" s="2">
        <v>39648</v>
      </c>
      <c r="BO71">
        <v>4</v>
      </c>
      <c r="BP71" s="111">
        <f t="shared" si="17"/>
        <v>40210</v>
      </c>
      <c r="BQ71" s="111">
        <f t="shared" si="18"/>
        <v>40452</v>
      </c>
      <c r="BR71" s="111">
        <f t="shared" si="19"/>
        <v>40628.01</v>
      </c>
      <c r="BS71" s="111">
        <f t="shared" si="20"/>
        <v>40817</v>
      </c>
      <c r="BT71" s="111">
        <f t="shared" si="12"/>
        <v>41183</v>
      </c>
      <c r="BU71" s="111">
        <f t="shared" si="13"/>
        <v>0</v>
      </c>
      <c r="BV71" s="111">
        <f t="shared" si="14"/>
        <v>0</v>
      </c>
      <c r="BW71" s="111">
        <f t="shared" si="15"/>
        <v>0</v>
      </c>
      <c r="BX71" s="111">
        <f t="shared" si="16"/>
        <v>0</v>
      </c>
    </row>
    <row r="72" spans="3:76" ht="12.75" hidden="1">
      <c r="C72" s="462" t="s">
        <v>599</v>
      </c>
      <c r="D72" s="12"/>
      <c r="E72" s="127">
        <f>F68</f>
        <v>40210</v>
      </c>
      <c r="F72" s="459">
        <f>AF90</f>
        <v>40210</v>
      </c>
      <c r="G72" s="12">
        <f>E34</f>
        <v>12190</v>
      </c>
      <c r="H72" s="12">
        <f>IF(F72=0,0,G72)</f>
        <v>12190</v>
      </c>
      <c r="I72" s="453">
        <v>1</v>
      </c>
      <c r="J72" s="321"/>
      <c r="K72" s="452"/>
      <c r="L72" s="452">
        <v>24</v>
      </c>
      <c r="M72" s="318">
        <v>7</v>
      </c>
      <c r="N72" s="318">
        <v>8</v>
      </c>
      <c r="O72" s="318">
        <v>8</v>
      </c>
      <c r="S72" s="15"/>
      <c r="T72" s="15"/>
      <c r="U72" s="15"/>
      <c r="V72" s="15"/>
      <c r="W72" s="15"/>
      <c r="X72" s="451"/>
      <c r="Y72" s="450">
        <v>20</v>
      </c>
      <c r="Z72" s="12">
        <f>Z71+300</f>
        <v>11200</v>
      </c>
      <c r="AA72" s="12">
        <f>AA71+330</f>
        <v>11530</v>
      </c>
      <c r="AB72" s="12">
        <v>11860</v>
      </c>
      <c r="AC72" s="126">
        <v>20</v>
      </c>
      <c r="AD72" s="12">
        <f>AD71+300</f>
        <v>10900</v>
      </c>
      <c r="AE72" s="15"/>
      <c r="AM72" s="117"/>
      <c r="AN72" s="111"/>
      <c r="AO72" s="2">
        <v>40634</v>
      </c>
      <c r="AP72" s="127">
        <v>40210</v>
      </c>
      <c r="AQ72" s="127">
        <v>40575</v>
      </c>
      <c r="AR72" s="127">
        <v>40940</v>
      </c>
      <c r="BE72" s="12">
        <v>20</v>
      </c>
      <c r="BF72" s="12" t="s">
        <v>233</v>
      </c>
      <c r="BH72" s="12">
        <f>BH71+300</f>
        <v>11200</v>
      </c>
      <c r="BI72">
        <v>20</v>
      </c>
      <c r="BJ72" s="111">
        <v>40768</v>
      </c>
      <c r="BK72" s="2">
        <v>39649</v>
      </c>
      <c r="BO72">
        <v>5</v>
      </c>
      <c r="BP72" s="111">
        <f t="shared" si="17"/>
        <v>40210</v>
      </c>
      <c r="BQ72" s="111">
        <f t="shared" si="18"/>
        <v>40452</v>
      </c>
      <c r="BR72" s="111">
        <f t="shared" si="19"/>
        <v>40628.01</v>
      </c>
      <c r="BS72" s="111">
        <f t="shared" si="20"/>
        <v>40817</v>
      </c>
      <c r="BT72" s="111">
        <f t="shared" si="12"/>
        <v>41183</v>
      </c>
      <c r="BU72" s="111">
        <f t="shared" si="13"/>
        <v>0</v>
      </c>
      <c r="BV72" s="111">
        <f t="shared" si="14"/>
        <v>0</v>
      </c>
      <c r="BW72" s="111">
        <f t="shared" si="15"/>
        <v>0</v>
      </c>
      <c r="BX72" s="111">
        <f t="shared" si="16"/>
        <v>8</v>
      </c>
    </row>
    <row r="73" spans="3:76" ht="12.75" hidden="1">
      <c r="C73" s="459" t="s">
        <v>597</v>
      </c>
      <c r="D73" s="460"/>
      <c r="E73" s="459">
        <f>DATE(IF(OR(F52=1,F52=2),2011,2010),F52,1)</f>
        <v>40452</v>
      </c>
      <c r="F73" s="459">
        <f>IF(AF91=0,MAX(E72:E79),AF91)</f>
        <v>40452</v>
      </c>
      <c r="G73" s="460">
        <f>VLOOKUP(G72,Z53:AB136,IF(OR(AND(E42=O107,E43=O114,E76=F73),AND(E42=O107,E43=O113,F72=E76)),3,2),TRUE)</f>
        <v>12550</v>
      </c>
      <c r="H73" s="12">
        <f aca="true" t="shared" si="21" ref="H73:H79">IF(F73=0,0,G73)</f>
        <v>12550</v>
      </c>
      <c r="I73" s="453">
        <v>2</v>
      </c>
      <c r="J73" s="323"/>
      <c r="K73" s="482" t="s">
        <v>649</v>
      </c>
      <c r="L73" s="452"/>
      <c r="N73">
        <f>VLOOKUP(F54,L68:O72,M66+1,TRUE)</f>
        <v>3</v>
      </c>
      <c r="O73">
        <f>IF(N73=2,3,IF(OR(N73=3,N73=4),4,IF(OR(N73=5,N73=6),6,IF(N73=7,5,8))))</f>
        <v>4</v>
      </c>
      <c r="S73" s="15"/>
      <c r="T73" s="15"/>
      <c r="U73" s="15"/>
      <c r="V73" s="15"/>
      <c r="W73" s="15"/>
      <c r="X73" s="451"/>
      <c r="Y73" s="450">
        <v>21</v>
      </c>
      <c r="Z73" s="12">
        <f>Z72+330</f>
        <v>11530</v>
      </c>
      <c r="AA73" s="12">
        <f>AA72+330</f>
        <v>11860</v>
      </c>
      <c r="AB73" s="12">
        <v>12190</v>
      </c>
      <c r="AC73" s="126">
        <v>21</v>
      </c>
      <c r="AD73" s="12">
        <f>AD72+300</f>
        <v>11200</v>
      </c>
      <c r="AE73" s="15"/>
      <c r="AM73" s="117"/>
      <c r="AN73" s="117"/>
      <c r="AO73" s="117"/>
      <c r="AP73" s="127">
        <v>40238</v>
      </c>
      <c r="AQ73" s="127">
        <v>40603</v>
      </c>
      <c r="AR73" s="127">
        <v>40969</v>
      </c>
      <c r="BE73" s="12">
        <v>21</v>
      </c>
      <c r="BF73" s="12" t="s">
        <v>234</v>
      </c>
      <c r="BH73" s="12">
        <f>BH72+330</f>
        <v>11530</v>
      </c>
      <c r="BI73">
        <v>21</v>
      </c>
      <c r="BJ73" s="111">
        <v>40769</v>
      </c>
      <c r="BK73" s="2">
        <v>39650</v>
      </c>
      <c r="BO73">
        <v>6</v>
      </c>
      <c r="BP73" s="111">
        <f t="shared" si="17"/>
        <v>40210</v>
      </c>
      <c r="BQ73" s="111">
        <f t="shared" si="18"/>
        <v>40452</v>
      </c>
      <c r="BR73" s="111">
        <f t="shared" si="19"/>
        <v>40628.01</v>
      </c>
      <c r="BS73" s="111">
        <f t="shared" si="20"/>
        <v>40817</v>
      </c>
      <c r="BT73" s="111">
        <f t="shared" si="12"/>
        <v>41183</v>
      </c>
      <c r="BU73" s="111">
        <f t="shared" si="13"/>
        <v>0</v>
      </c>
      <c r="BV73" s="111">
        <f t="shared" si="14"/>
        <v>0</v>
      </c>
      <c r="BW73" s="111">
        <f t="shared" si="15"/>
        <v>0</v>
      </c>
      <c r="BX73" s="111">
        <f t="shared" si="16"/>
        <v>0</v>
      </c>
    </row>
    <row r="74" spans="3:76" ht="12.75" hidden="1">
      <c r="C74" s="459"/>
      <c r="D74" s="460"/>
      <c r="E74" s="459">
        <f>DATE(YEAR(E73)+1,MONTH(E73),1)</f>
        <v>40817</v>
      </c>
      <c r="F74" s="459">
        <f>IF(AF92=0,MAX(E72:E79),AF92)</f>
        <v>40628.01</v>
      </c>
      <c r="G74" s="460">
        <f>VLOOKUP(G73,Z53:AB136,IF(OR(AND(E42=O107,E43=O114,E76=F74),AND(E42=O107,E43=O113,F73=E76)),3,2),TRUE)</f>
        <v>12910</v>
      </c>
      <c r="H74" s="12">
        <f t="shared" si="21"/>
        <v>12910</v>
      </c>
      <c r="I74" s="453">
        <v>3</v>
      </c>
      <c r="J74" s="323"/>
      <c r="K74" s="452"/>
      <c r="L74" s="452"/>
      <c r="N74" t="str">
        <f>IF(N73=2,"S.G.",IF(N73=3,"S.P.P.-1A",IF(N73=4,"S.P.P-IB",IF(N73=5,"S.A.P.P.-IA",IF(N73=6,"S.A.P.P.-IB",IF(N73=7,"S.P.P.-II",S.A.P.P.-II))))))</f>
        <v>S.P.P.-1A</v>
      </c>
      <c r="O74">
        <f>VLOOKUP(M64,M60:S62,O73,TRUE)</f>
        <v>14860</v>
      </c>
      <c r="P74" t="str">
        <f>VLOOKUP(O74,T59:U69,2,TRUE)</f>
        <v>14860-420-15700-450-17050-490-18520-530-20110-570-21820-610-23650-650-25600-700-27700-750-29950-800-32350-850-34900-900-37600-970-39540</v>
      </c>
      <c r="S74" s="15"/>
      <c r="T74" s="15"/>
      <c r="U74" s="15"/>
      <c r="V74" s="15"/>
      <c r="W74" s="15"/>
      <c r="X74" s="451"/>
      <c r="Y74" s="450">
        <v>22</v>
      </c>
      <c r="Z74" s="12">
        <f>Z73+330</f>
        <v>11860</v>
      </c>
      <c r="AA74" s="12">
        <f>AA73+330</f>
        <v>12190</v>
      </c>
      <c r="AB74" s="12">
        <v>12550</v>
      </c>
      <c r="AC74" s="126">
        <v>22</v>
      </c>
      <c r="AD74" s="12">
        <f>AD73+330</f>
        <v>11530</v>
      </c>
      <c r="AE74" s="15"/>
      <c r="AM74" s="117"/>
      <c r="AN74" s="117"/>
      <c r="AO74" s="117"/>
      <c r="AP74" s="127">
        <v>40269</v>
      </c>
      <c r="AQ74" s="127">
        <v>40634</v>
      </c>
      <c r="AR74" s="127">
        <v>41000</v>
      </c>
      <c r="BE74" s="12">
        <v>22</v>
      </c>
      <c r="BF74" s="12" t="s">
        <v>235</v>
      </c>
      <c r="BH74" s="12">
        <f>BH73+330</f>
        <v>11860</v>
      </c>
      <c r="BI74">
        <v>22</v>
      </c>
      <c r="BJ74" s="111">
        <v>40770</v>
      </c>
      <c r="BK74" s="2">
        <v>39651</v>
      </c>
      <c r="BO74">
        <v>7</v>
      </c>
      <c r="BP74" s="111">
        <f t="shared" si="17"/>
        <v>40210</v>
      </c>
      <c r="BQ74" s="111">
        <f t="shared" si="18"/>
        <v>40452</v>
      </c>
      <c r="BR74" s="111">
        <f t="shared" si="19"/>
        <v>40628.01</v>
      </c>
      <c r="BS74" s="111">
        <f t="shared" si="20"/>
        <v>40817</v>
      </c>
      <c r="BT74" s="111">
        <f t="shared" si="12"/>
        <v>41183</v>
      </c>
      <c r="BU74" s="111">
        <f t="shared" si="13"/>
        <v>0</v>
      </c>
      <c r="BV74" s="111">
        <f t="shared" si="14"/>
        <v>0</v>
      </c>
      <c r="BW74" s="111">
        <f t="shared" si="15"/>
        <v>0</v>
      </c>
      <c r="BX74" s="111">
        <f t="shared" si="16"/>
        <v>0</v>
      </c>
    </row>
    <row r="75" spans="3:76" ht="12.75" hidden="1">
      <c r="C75" s="459"/>
      <c r="D75" s="460"/>
      <c r="E75" s="459">
        <f>DATE(YEAR(E74)+1,MONTH(E74),1)</f>
        <v>41183</v>
      </c>
      <c r="F75" s="459">
        <f>IF(AF93=0,MAX(E72:E79),AF93)</f>
        <v>40817</v>
      </c>
      <c r="G75" s="460">
        <f>VLOOKUP(G74,Z53:AB136,IF(OR(AND(E42=O107,E43=O114,E76=F75),AND(E42=O107,E43=O113,F74=E76)),3,2),TRUE)</f>
        <v>13660</v>
      </c>
      <c r="H75" s="12">
        <f t="shared" si="21"/>
        <v>13660</v>
      </c>
      <c r="I75" s="453">
        <v>4</v>
      </c>
      <c r="J75" s="8"/>
      <c r="N75" t="str">
        <f>IF(F54=24," as per FR 31(2)",IF(F54=18," "," as per FR 22(a)(i)"))</f>
        <v> as per FR 22(a)(i)</v>
      </c>
      <c r="Q75" s="2"/>
      <c r="S75" s="15"/>
      <c r="T75" s="15"/>
      <c r="U75" s="15"/>
      <c r="V75" s="15"/>
      <c r="W75" s="15"/>
      <c r="X75" s="451"/>
      <c r="Y75" s="450">
        <v>23</v>
      </c>
      <c r="Z75" s="12">
        <f>Z74+330</f>
        <v>12190</v>
      </c>
      <c r="AA75" s="12">
        <f>AA74+360</f>
        <v>12550</v>
      </c>
      <c r="AB75" s="12">
        <v>12910</v>
      </c>
      <c r="AC75" s="126">
        <v>23</v>
      </c>
      <c r="AD75" s="12">
        <f>AD74+330</f>
        <v>11860</v>
      </c>
      <c r="AE75" s="15"/>
      <c r="AM75" s="117"/>
      <c r="AN75" s="117"/>
      <c r="AO75" s="117"/>
      <c r="AP75" s="127">
        <v>40299</v>
      </c>
      <c r="AQ75" s="127">
        <v>40664</v>
      </c>
      <c r="AR75" s="127">
        <v>41030</v>
      </c>
      <c r="BE75" s="12">
        <v>23</v>
      </c>
      <c r="BF75" s="12" t="s">
        <v>236</v>
      </c>
      <c r="BH75" s="12">
        <f>BH74+330</f>
        <v>12190</v>
      </c>
      <c r="BI75">
        <v>23</v>
      </c>
      <c r="BJ75" s="111">
        <v>40771</v>
      </c>
      <c r="BK75" s="2">
        <v>39652</v>
      </c>
      <c r="BO75">
        <v>8</v>
      </c>
      <c r="BP75" s="111">
        <f t="shared" si="17"/>
        <v>40210</v>
      </c>
      <c r="BQ75" s="111">
        <f t="shared" si="18"/>
        <v>40452</v>
      </c>
      <c r="BR75" s="111">
        <f t="shared" si="19"/>
        <v>40628.01</v>
      </c>
      <c r="BS75" s="111">
        <f t="shared" si="20"/>
        <v>40817</v>
      </c>
      <c r="BT75" s="111">
        <f t="shared" si="12"/>
        <v>41183</v>
      </c>
      <c r="BU75" s="111">
        <f t="shared" si="13"/>
        <v>0</v>
      </c>
      <c r="BV75" s="111">
        <f t="shared" si="14"/>
        <v>0</v>
      </c>
      <c r="BW75" s="111">
        <f t="shared" si="15"/>
        <v>0</v>
      </c>
      <c r="BX75" s="111">
        <f t="shared" si="16"/>
        <v>0</v>
      </c>
    </row>
    <row r="76" spans="3:76" ht="12.75" hidden="1">
      <c r="C76" s="12" t="s">
        <v>598</v>
      </c>
      <c r="D76" s="12"/>
      <c r="E76" s="127">
        <f>IF(E42=O107,E139,E73)</f>
        <v>40628.01</v>
      </c>
      <c r="F76" s="459">
        <f>IF(AF94=0,MAX(E72:E79),AF94)</f>
        <v>41183</v>
      </c>
      <c r="G76" s="12">
        <f>VLOOKUP(G75,Z53:AB136,IF(OR(AND(E42=O107,E43=O114,E76=F76),AND(E42=O107,E43=O113,F75=E76)),3,2),TRUE)</f>
        <v>14050</v>
      </c>
      <c r="H76" s="12">
        <f t="shared" si="21"/>
        <v>14050</v>
      </c>
      <c r="I76" s="453">
        <v>5</v>
      </c>
      <c r="Q76" s="2"/>
      <c r="S76" s="15"/>
      <c r="T76" s="15"/>
      <c r="U76" s="15"/>
      <c r="V76" s="15"/>
      <c r="W76" s="15"/>
      <c r="X76" s="451"/>
      <c r="Y76" s="450">
        <v>24</v>
      </c>
      <c r="Z76" s="12">
        <f>Z75+360</f>
        <v>12550</v>
      </c>
      <c r="AA76" s="12">
        <f>AA75+360</f>
        <v>12910</v>
      </c>
      <c r="AB76" s="12">
        <v>13270</v>
      </c>
      <c r="AC76" s="126">
        <v>24</v>
      </c>
      <c r="AD76" s="12">
        <f>AD75+330</f>
        <v>12190</v>
      </c>
      <c r="AE76" s="15"/>
      <c r="AM76" s="117"/>
      <c r="AN76" s="117"/>
      <c r="AO76" s="117"/>
      <c r="AP76" s="127">
        <v>40330</v>
      </c>
      <c r="AQ76" s="127">
        <v>40695</v>
      </c>
      <c r="AR76" s="127">
        <v>41061</v>
      </c>
      <c r="BE76" s="12">
        <v>24</v>
      </c>
      <c r="BF76" s="12" t="s">
        <v>237</v>
      </c>
      <c r="BH76" s="12">
        <f>BH75+360</f>
        <v>12550</v>
      </c>
      <c r="BI76">
        <v>24</v>
      </c>
      <c r="BJ76" s="111">
        <v>40772</v>
      </c>
      <c r="BK76" s="2">
        <v>39653</v>
      </c>
      <c r="BO76">
        <v>9</v>
      </c>
      <c r="BP76" s="111">
        <f t="shared" si="17"/>
        <v>40210</v>
      </c>
      <c r="BQ76" s="111">
        <f t="shared" si="18"/>
        <v>40452</v>
      </c>
      <c r="BR76" s="111">
        <f t="shared" si="19"/>
        <v>40628.01</v>
      </c>
      <c r="BS76" s="111">
        <f t="shared" si="20"/>
        <v>40817</v>
      </c>
      <c r="BT76" s="111">
        <f t="shared" si="12"/>
        <v>41183</v>
      </c>
      <c r="BU76" s="111">
        <f t="shared" si="13"/>
        <v>0</v>
      </c>
      <c r="BV76" s="111">
        <f t="shared" si="14"/>
        <v>0</v>
      </c>
      <c r="BW76" s="111">
        <f t="shared" si="15"/>
        <v>0</v>
      </c>
      <c r="BX76" s="111">
        <f t="shared" si="16"/>
        <v>0</v>
      </c>
    </row>
    <row r="77" spans="3:76" ht="12.75" hidden="1">
      <c r="C77" s="12"/>
      <c r="D77" s="12"/>
      <c r="E77" s="127">
        <f>IF(AND(E42=O107,E43=O114),DATE(YEAR(E76)+1,MONTH(E76),1),E76)</f>
        <v>40628.01</v>
      </c>
      <c r="F77" s="459">
        <f>IF(AF95=0,MAX(E72:E79),AF95)</f>
        <v>41183</v>
      </c>
      <c r="G77" s="12">
        <f>VLOOKUP(G76,Z53:AB136,IF(OR(AND(E42=O107,E43=O114,E76=F77),AND(E42=O107,E43=O113,F76=E76)),3,2),TRUE)</f>
        <v>14440</v>
      </c>
      <c r="H77" s="12">
        <f t="shared" si="21"/>
        <v>14440</v>
      </c>
      <c r="I77" s="453">
        <v>6</v>
      </c>
      <c r="K77" s="101"/>
      <c r="L77" s="101"/>
      <c r="M77" s="101"/>
      <c r="O77" s="164"/>
      <c r="P77" s="164"/>
      <c r="Q77" s="2"/>
      <c r="S77" s="15"/>
      <c r="T77" s="15"/>
      <c r="U77" s="15"/>
      <c r="V77" s="15"/>
      <c r="W77" s="15"/>
      <c r="X77" s="451"/>
      <c r="Y77" s="450">
        <v>25</v>
      </c>
      <c r="Z77" s="12">
        <f>Z76+360</f>
        <v>12910</v>
      </c>
      <c r="AA77" s="12">
        <f>AA76+360</f>
        <v>13270</v>
      </c>
      <c r="AB77" s="12">
        <v>13660</v>
      </c>
      <c r="AC77" s="126">
        <v>25</v>
      </c>
      <c r="AD77" s="12">
        <f>AD76+360</f>
        <v>12550</v>
      </c>
      <c r="AE77" s="15"/>
      <c r="AM77" s="117"/>
      <c r="AN77" s="117"/>
      <c r="AO77" s="117"/>
      <c r="AP77" s="127">
        <v>40360</v>
      </c>
      <c r="AQ77" s="127">
        <v>40725</v>
      </c>
      <c r="AR77" s="127">
        <v>41091</v>
      </c>
      <c r="BE77" s="12">
        <v>25</v>
      </c>
      <c r="BF77" s="12" t="s">
        <v>238</v>
      </c>
      <c r="BH77" s="12">
        <f>BH76+360</f>
        <v>12910</v>
      </c>
      <c r="BI77">
        <v>25</v>
      </c>
      <c r="BJ77" s="111">
        <v>40773</v>
      </c>
      <c r="BK77" s="2">
        <v>39654</v>
      </c>
      <c r="BO77">
        <v>10</v>
      </c>
      <c r="BP77" s="111">
        <f t="shared" si="17"/>
        <v>40210</v>
      </c>
      <c r="BQ77" s="111">
        <f t="shared" si="18"/>
        <v>40452</v>
      </c>
      <c r="BR77" s="111">
        <f t="shared" si="19"/>
        <v>40628.01</v>
      </c>
      <c r="BS77" s="111">
        <f t="shared" si="20"/>
        <v>40817</v>
      </c>
      <c r="BT77" s="111">
        <f t="shared" si="12"/>
        <v>41183</v>
      </c>
      <c r="BU77" s="111">
        <f t="shared" si="13"/>
        <v>0</v>
      </c>
      <c r="BV77" s="111">
        <f t="shared" si="14"/>
        <v>0</v>
      </c>
      <c r="BW77" s="111">
        <f t="shared" si="15"/>
        <v>0</v>
      </c>
      <c r="BX77" s="111">
        <f t="shared" si="16"/>
        <v>0</v>
      </c>
    </row>
    <row r="78" spans="3:63" ht="12.75" hidden="1">
      <c r="C78" s="127"/>
      <c r="D78" s="12"/>
      <c r="E78" s="127">
        <f>IF(AND(E42=O107,E43=O114),DATE(YEAR(E77)+1,MONTH(E77),1),E77)</f>
        <v>40628.01</v>
      </c>
      <c r="F78" s="459">
        <f>IF(AF96=0,MAX(E72:E79),AF96)</f>
        <v>41183</v>
      </c>
      <c r="G78" s="461">
        <f>VLOOKUP(G77,Z53:AB136,IF(OR(AND(E42=O107,E43=O114,E76=F78),AND(E42=O107,E43=O113,F77=E76)),3,2),TRUE)</f>
        <v>14860</v>
      </c>
      <c r="H78" s="12">
        <f t="shared" si="21"/>
        <v>14860</v>
      </c>
      <c r="I78" s="453">
        <v>7</v>
      </c>
      <c r="K78" s="101"/>
      <c r="L78" s="101"/>
      <c r="M78" s="101"/>
      <c r="O78" s="111"/>
      <c r="Q78" s="2"/>
      <c r="S78" s="15"/>
      <c r="T78" s="15"/>
      <c r="U78" s="15"/>
      <c r="V78" s="15"/>
      <c r="W78" s="15"/>
      <c r="X78" s="451"/>
      <c r="Y78" s="450">
        <v>26</v>
      </c>
      <c r="Z78" s="12">
        <f>Z77+360</f>
        <v>13270</v>
      </c>
      <c r="AA78" s="12">
        <f>AA77+390</f>
        <v>13660</v>
      </c>
      <c r="AB78" s="12">
        <v>14050</v>
      </c>
      <c r="AC78" s="126">
        <v>26</v>
      </c>
      <c r="AD78" s="12">
        <f>AD77+360</f>
        <v>12910</v>
      </c>
      <c r="AE78" s="15"/>
      <c r="BE78" s="12">
        <v>26</v>
      </c>
      <c r="BF78" s="12" t="s">
        <v>239</v>
      </c>
      <c r="BH78" s="12">
        <f>BH77+360</f>
        <v>13270</v>
      </c>
      <c r="BI78">
        <v>26</v>
      </c>
      <c r="BJ78" s="111">
        <v>40774</v>
      </c>
      <c r="BK78" s="2">
        <v>39655</v>
      </c>
    </row>
    <row r="79" spans="3:74" ht="11.25" customHeight="1" hidden="1">
      <c r="C79" s="127"/>
      <c r="D79" s="12"/>
      <c r="E79" s="127">
        <f>E69</f>
        <v>40210</v>
      </c>
      <c r="F79" s="459">
        <f>IF(AF97=0,MAX(E72:E79),AF97)</f>
        <v>41183</v>
      </c>
      <c r="G79" s="461">
        <f>VLOOKUP(G78,Z53:AB136,IF(OR(AND(E42=O107,E43=O114,E76=F79),AND(E42=O107,E43=O113,F78=E76)),3,2),TRUE)</f>
        <v>15280</v>
      </c>
      <c r="H79" s="12">
        <f t="shared" si="21"/>
        <v>15280</v>
      </c>
      <c r="I79" s="453">
        <v>8</v>
      </c>
      <c r="J79" t="str">
        <f>IF(F245=G245,"YOU HAVE NO BENIFIT NOW","YOU HAVE BENIFIT")</f>
        <v>YOU HAVE NO BENIFIT NOW</v>
      </c>
      <c r="K79" s="101"/>
      <c r="L79" s="101"/>
      <c r="M79" s="101"/>
      <c r="N79" t="s">
        <v>670</v>
      </c>
      <c r="O79" s="111" t="str">
        <f>IF(N67&gt;O74,O67,G98)</f>
        <v>18030-43630</v>
      </c>
      <c r="Q79" s="2"/>
      <c r="S79" s="15"/>
      <c r="T79" s="15"/>
      <c r="U79" s="15"/>
      <c r="V79" s="15"/>
      <c r="W79" s="15"/>
      <c r="X79" s="451"/>
      <c r="Y79" s="450">
        <v>27</v>
      </c>
      <c r="Z79" s="12">
        <f>Z78+390</f>
        <v>13660</v>
      </c>
      <c r="AA79" s="12">
        <f>AA78+390</f>
        <v>14050</v>
      </c>
      <c r="AB79" s="12">
        <v>14440</v>
      </c>
      <c r="AC79" s="126">
        <v>27</v>
      </c>
      <c r="AD79" s="12">
        <f>AD78+360</f>
        <v>13270</v>
      </c>
      <c r="AE79" s="15"/>
      <c r="BE79" s="12">
        <v>27</v>
      </c>
      <c r="BF79" s="12" t="s">
        <v>240</v>
      </c>
      <c r="BH79" s="12">
        <f>BH78+390</f>
        <v>13660</v>
      </c>
      <c r="BI79">
        <v>27</v>
      </c>
      <c r="BJ79" s="111">
        <v>40775</v>
      </c>
      <c r="BK79" s="2">
        <v>39656</v>
      </c>
      <c r="BQ79">
        <v>0</v>
      </c>
      <c r="BR79">
        <v>0</v>
      </c>
      <c r="BS79">
        <v>0</v>
      </c>
      <c r="BT79">
        <v>0</v>
      </c>
      <c r="BU79">
        <v>0</v>
      </c>
      <c r="BV79">
        <v>0</v>
      </c>
    </row>
    <row r="80" spans="3:78" ht="12.75" hidden="1">
      <c r="C80" s="111"/>
      <c r="E80" s="111"/>
      <c r="G80" s="164"/>
      <c r="H80" s="164"/>
      <c r="O80" s="111"/>
      <c r="Q80" s="2"/>
      <c r="S80" s="15"/>
      <c r="T80" s="15"/>
      <c r="U80" s="15"/>
      <c r="V80" s="15"/>
      <c r="W80" s="15"/>
      <c r="X80" s="451"/>
      <c r="Y80" s="450">
        <v>28</v>
      </c>
      <c r="Z80" s="12">
        <f>Z79+390</f>
        <v>14050</v>
      </c>
      <c r="AA80" s="12">
        <f>AA79+390</f>
        <v>14440</v>
      </c>
      <c r="AB80" s="12">
        <v>14860</v>
      </c>
      <c r="AC80" s="126">
        <v>28</v>
      </c>
      <c r="AD80" s="12">
        <f>AD79+390</f>
        <v>13660</v>
      </c>
      <c r="AE80" s="15"/>
      <c r="BE80" s="12">
        <v>28</v>
      </c>
      <c r="BF80" s="12" t="s">
        <v>241</v>
      </c>
      <c r="BH80" s="12">
        <f>BH79+390</f>
        <v>14050</v>
      </c>
      <c r="BI80">
        <v>28</v>
      </c>
      <c r="BJ80" s="111">
        <v>40776</v>
      </c>
      <c r="BK80" s="2">
        <v>39657</v>
      </c>
      <c r="BN80" s="2">
        <v>40210</v>
      </c>
      <c r="BO80" s="111">
        <f>E136</f>
        <v>40817.01</v>
      </c>
      <c r="BP80" s="111">
        <f>IF(BN80&lt;BO80,BN80,0)</f>
        <v>40210</v>
      </c>
      <c r="BQ80">
        <f>BILL!D5</f>
        <v>40210</v>
      </c>
      <c r="BR80">
        <f>IF(BQ80=0,BR79+0.1,BQ80)</f>
        <v>40210</v>
      </c>
      <c r="BS80">
        <f>BILL!Z5</f>
        <v>15392</v>
      </c>
      <c r="BT80">
        <f>BILL!X5</f>
        <v>150</v>
      </c>
      <c r="BU80">
        <f>BILL!P5</f>
        <v>15392</v>
      </c>
      <c r="BV80">
        <f>BILL!N5</f>
        <v>150</v>
      </c>
      <c r="BW80">
        <f>VLOOKUP(BN80,BR79:BV112,2,TRUE)</f>
        <v>15392</v>
      </c>
      <c r="BX80">
        <f>VLOOKUP(BN80,BR79:BV112,3,TRUE)</f>
        <v>150</v>
      </c>
      <c r="BY80">
        <f>VLOOKUP(BN80,BR79:BV112,4,TRUE)</f>
        <v>15392</v>
      </c>
      <c r="BZ80">
        <f>VLOOKUP(BN80,BR79:BV112,5,TRUE)</f>
        <v>150</v>
      </c>
    </row>
    <row r="81" spans="9:78" ht="12.75" hidden="1">
      <c r="I81" s="127">
        <f>F82</f>
        <v>40210</v>
      </c>
      <c r="K81" s="101"/>
      <c r="L81" s="101"/>
      <c r="M81" s="101"/>
      <c r="Q81" s="2"/>
      <c r="S81" s="15"/>
      <c r="T81" s="15"/>
      <c r="U81" s="15"/>
      <c r="V81" s="15"/>
      <c r="W81" s="15"/>
      <c r="X81" s="451"/>
      <c r="Y81" s="450">
        <v>29</v>
      </c>
      <c r="Z81" s="12">
        <f>Z80+390</f>
        <v>14440</v>
      </c>
      <c r="AA81" s="12">
        <f>AA80+420</f>
        <v>14860</v>
      </c>
      <c r="AB81" s="12">
        <v>15280</v>
      </c>
      <c r="AC81" s="126">
        <v>29</v>
      </c>
      <c r="AD81" s="12">
        <f>AD80+390</f>
        <v>14050</v>
      </c>
      <c r="AE81" s="15"/>
      <c r="BE81" s="12">
        <v>29</v>
      </c>
      <c r="BF81" s="12" t="s">
        <v>242</v>
      </c>
      <c r="BH81" s="12">
        <f>BH80+390</f>
        <v>14440</v>
      </c>
      <c r="BI81">
        <v>29</v>
      </c>
      <c r="BJ81" s="111">
        <v>40777</v>
      </c>
      <c r="BK81" s="2">
        <v>39658</v>
      </c>
      <c r="BN81" s="2">
        <v>40238</v>
      </c>
      <c r="BO81" s="111">
        <f>BO80</f>
        <v>40817.01</v>
      </c>
      <c r="BP81" s="111">
        <f>IF(BN81&lt;BO81,BN81,0)</f>
        <v>40238</v>
      </c>
      <c r="BQ81">
        <f>BILL!D6</f>
        <v>40238</v>
      </c>
      <c r="BR81">
        <f aca="true" t="shared" si="22" ref="BR81:BR112">IF(BQ81=0,BR80+0.1,BQ81)</f>
        <v>40238</v>
      </c>
      <c r="BS81">
        <f>BILL!Z6</f>
        <v>15392</v>
      </c>
      <c r="BT81">
        <f>BILL!X6</f>
        <v>150</v>
      </c>
      <c r="BU81">
        <f>BILL!P6</f>
        <v>15392</v>
      </c>
      <c r="BV81">
        <f>BILL!N6</f>
        <v>150</v>
      </c>
      <c r="BW81">
        <f>VLOOKUP(BN81,BR79:BV112,2,TRUE)</f>
        <v>15392</v>
      </c>
      <c r="BX81">
        <f>VLOOKUP(BN81,BR79:BV112,3,TRUE)</f>
        <v>150</v>
      </c>
      <c r="BY81">
        <f>VLOOKUP(BN81,BR79:BV112,4,TRUE)</f>
        <v>15392</v>
      </c>
      <c r="BZ81">
        <f>VLOOKUP(BN81,BR79:BV112,5,TRUE)</f>
        <v>150</v>
      </c>
    </row>
    <row r="82" spans="3:78" ht="12.75" hidden="1">
      <c r="C82" s="464" t="s">
        <v>601</v>
      </c>
      <c r="D82" s="12">
        <v>1</v>
      </c>
      <c r="E82" s="127">
        <f>E72</f>
        <v>40210</v>
      </c>
      <c r="F82" s="127">
        <f>IF(BM55=0,MAX(E82:E89),BM55)</f>
        <v>40210</v>
      </c>
      <c r="G82" s="465">
        <f>VLOOKUP(E34,Z53:AB129,IF(AND(E63&lt;=F68,E63&lt;E67),2,1),TRUE)</f>
        <v>12190</v>
      </c>
      <c r="H82" s="465">
        <f>IF(F82=0,0,G82)</f>
        <v>12190</v>
      </c>
      <c r="I82" s="127">
        <f aca="true" t="shared" si="23" ref="I82:I88">F83</f>
        <v>40452</v>
      </c>
      <c r="J82">
        <v>1</v>
      </c>
      <c r="L82" s="2">
        <v>40210</v>
      </c>
      <c r="Q82" s="2"/>
      <c r="S82" s="15"/>
      <c r="T82" s="15"/>
      <c r="U82" s="15"/>
      <c r="V82" s="15"/>
      <c r="W82" s="15"/>
      <c r="X82" s="451"/>
      <c r="Y82" s="450">
        <v>30</v>
      </c>
      <c r="Z82" s="12">
        <f>Z81+420</f>
        <v>14860</v>
      </c>
      <c r="AA82" s="12">
        <f>AA81+420</f>
        <v>15280</v>
      </c>
      <c r="AB82" s="12">
        <v>15700</v>
      </c>
      <c r="AC82" s="126">
        <v>30</v>
      </c>
      <c r="AD82" s="12">
        <f>AD81+390</f>
        <v>14440</v>
      </c>
      <c r="AE82" s="15"/>
      <c r="BE82" s="12">
        <v>30</v>
      </c>
      <c r="BF82" s="12" t="s">
        <v>243</v>
      </c>
      <c r="BH82" s="12">
        <f>BH81+420</f>
        <v>14860</v>
      </c>
      <c r="BI82">
        <v>30</v>
      </c>
      <c r="BJ82" s="111">
        <v>40778</v>
      </c>
      <c r="BK82" s="2">
        <v>39659</v>
      </c>
      <c r="BN82" s="2">
        <v>40269</v>
      </c>
      <c r="BO82" s="111">
        <f aca="true" t="shared" si="24" ref="BO82:BO106">BO81</f>
        <v>40817.01</v>
      </c>
      <c r="BP82" s="111">
        <f aca="true" t="shared" si="25" ref="BP82:BP106">IF(BN82&lt;BO82,BN82,0)</f>
        <v>40269</v>
      </c>
      <c r="BQ82">
        <f>BILL!D7</f>
        <v>40269</v>
      </c>
      <c r="BR82">
        <f t="shared" si="22"/>
        <v>40269</v>
      </c>
      <c r="BS82">
        <f>BILL!Z7</f>
        <v>15392</v>
      </c>
      <c r="BT82">
        <f>BILL!X7</f>
        <v>150</v>
      </c>
      <c r="BU82">
        <f>BILL!P7</f>
        <v>15392</v>
      </c>
      <c r="BV82">
        <f>BILL!N7</f>
        <v>150</v>
      </c>
      <c r="BW82">
        <f>VLOOKUP(BN82,BR79:BV112,2,TRUE)</f>
        <v>15392</v>
      </c>
      <c r="BX82">
        <f>VLOOKUP(BN82,BR79:BV112,3,TRUE)</f>
        <v>150</v>
      </c>
      <c r="BY82">
        <f>VLOOKUP(BN82,BR79:BV112,4,TRUE)</f>
        <v>15392</v>
      </c>
      <c r="BZ82">
        <f>VLOOKUP(BN82,BR79:BV112,5,TRUE)</f>
        <v>150</v>
      </c>
    </row>
    <row r="83" spans="3:78" ht="12.75" hidden="1">
      <c r="C83" s="12"/>
      <c r="D83" s="12">
        <v>2</v>
      </c>
      <c r="E83" s="127">
        <f>K83</f>
        <v>40452</v>
      </c>
      <c r="F83" s="127">
        <f>IF(BM56=0,MAX(E82:E89)+0.01,BM56)</f>
        <v>40452</v>
      </c>
      <c r="G83" s="12">
        <f>VLOOKUP(G82,Z53:AB136,IF(OR(AND(E42=O107,E43=O114,E86=F83),AND(E42=O107,E43=O113,F82=E86)),3,2),TRUE)</f>
        <v>12550</v>
      </c>
      <c r="H83" s="465">
        <f aca="true" t="shared" si="26" ref="H83:H89">IF(F83=0,0,G83)</f>
        <v>12550</v>
      </c>
      <c r="I83" s="127">
        <f t="shared" si="23"/>
        <v>40628.01</v>
      </c>
      <c r="J83">
        <v>2</v>
      </c>
      <c r="K83" s="540">
        <f>IF(AND(F54=18,E63&lt;L82),L83,E73)</f>
        <v>40452</v>
      </c>
      <c r="L83" s="466">
        <v>40575</v>
      </c>
      <c r="M83" s="101"/>
      <c r="Q83" s="2"/>
      <c r="S83" s="15"/>
      <c r="T83" s="15"/>
      <c r="U83" s="15"/>
      <c r="V83" s="15"/>
      <c r="W83" s="15"/>
      <c r="X83" s="451"/>
      <c r="Y83" s="450">
        <v>31</v>
      </c>
      <c r="Z83" s="12">
        <f>Z82+420</f>
        <v>15280</v>
      </c>
      <c r="AA83" s="12">
        <f>AA82+420</f>
        <v>15700</v>
      </c>
      <c r="AB83" s="12">
        <v>16150</v>
      </c>
      <c r="AC83" s="126">
        <v>31</v>
      </c>
      <c r="AD83" s="12">
        <f>AD82+420</f>
        <v>14860</v>
      </c>
      <c r="AE83" s="15"/>
      <c r="BE83" s="12">
        <v>31</v>
      </c>
      <c r="BF83" s="12" t="s">
        <v>244</v>
      </c>
      <c r="BH83" s="12">
        <f>BH82+420</f>
        <v>15280</v>
      </c>
      <c r="BI83">
        <v>31</v>
      </c>
      <c r="BJ83" s="111">
        <v>40779</v>
      </c>
      <c r="BK83" s="2">
        <v>39660</v>
      </c>
      <c r="BN83" s="2">
        <v>40299</v>
      </c>
      <c r="BO83" s="111">
        <f t="shared" si="24"/>
        <v>40817.01</v>
      </c>
      <c r="BP83" s="111">
        <f t="shared" si="25"/>
        <v>40299</v>
      </c>
      <c r="BQ83">
        <f>BILL!D8</f>
        <v>40299</v>
      </c>
      <c r="BR83">
        <f t="shared" si="22"/>
        <v>40299</v>
      </c>
      <c r="BS83">
        <f>BILL!Z8</f>
        <v>15392</v>
      </c>
      <c r="BT83">
        <f>BILL!X8</f>
        <v>150</v>
      </c>
      <c r="BU83">
        <f>BILL!P8</f>
        <v>15392</v>
      </c>
      <c r="BV83">
        <f>BILL!N8</f>
        <v>150</v>
      </c>
      <c r="BW83">
        <f>VLOOKUP(BN83,BR79:BV112,2,TRUE)</f>
        <v>15392</v>
      </c>
      <c r="BX83">
        <f>VLOOKUP(BN83,BR79:BV112,3,TRUE)</f>
        <v>150</v>
      </c>
      <c r="BY83">
        <f>VLOOKUP(BN83,BR79:BV112,4,TRUE)</f>
        <v>15392</v>
      </c>
      <c r="BZ83">
        <f>VLOOKUP(BN83,BR79:BV112,5,TRUE)</f>
        <v>150</v>
      </c>
    </row>
    <row r="84" spans="3:78" ht="12.75" hidden="1">
      <c r="C84" s="127"/>
      <c r="D84" s="12">
        <v>3</v>
      </c>
      <c r="E84" s="127">
        <f>K84</f>
        <v>40817</v>
      </c>
      <c r="F84" s="127">
        <f>IF(BM57=0,MAX(E82:E89)+0.02,BM57)</f>
        <v>40628.01</v>
      </c>
      <c r="G84" s="461">
        <f>VLOOKUP(G83,Z53:AB136,IF(OR(AND(E42=O107,E43=O114,E86=F84),AND(E42=O107,E43=O113,F83=E76)),3,2),TRUE)</f>
        <v>12910</v>
      </c>
      <c r="H84" s="465">
        <f t="shared" si="26"/>
        <v>12910</v>
      </c>
      <c r="I84" s="127">
        <f t="shared" si="23"/>
        <v>40817</v>
      </c>
      <c r="J84">
        <v>3</v>
      </c>
      <c r="K84" s="540">
        <f>IF(AND(F54=18,E63&lt;L82),L84,E74)</f>
        <v>40817</v>
      </c>
      <c r="L84" s="466">
        <v>40940</v>
      </c>
      <c r="M84" s="101"/>
      <c r="Q84" s="2"/>
      <c r="S84" s="15"/>
      <c r="T84" s="15"/>
      <c r="U84" s="15"/>
      <c r="V84" s="15"/>
      <c r="W84" s="15"/>
      <c r="X84" s="451"/>
      <c r="Y84" s="450">
        <v>32</v>
      </c>
      <c r="Z84" s="12">
        <f>Z83+420</f>
        <v>15700</v>
      </c>
      <c r="AA84" s="12">
        <f>AA83+450</f>
        <v>16150</v>
      </c>
      <c r="AB84" s="12">
        <v>16600</v>
      </c>
      <c r="AC84" s="126">
        <v>32</v>
      </c>
      <c r="AD84" s="12">
        <f>AD83+420</f>
        <v>15280</v>
      </c>
      <c r="AE84" s="15"/>
      <c r="BE84" s="12">
        <v>32</v>
      </c>
      <c r="BF84" s="12" t="s">
        <v>426</v>
      </c>
      <c r="BH84" s="12">
        <f>BH83+420</f>
        <v>15700</v>
      </c>
      <c r="BI84">
        <v>32</v>
      </c>
      <c r="BJ84" s="111">
        <v>40780</v>
      </c>
      <c r="BK84" s="2">
        <v>39661</v>
      </c>
      <c r="BN84" s="2">
        <v>40330</v>
      </c>
      <c r="BO84" s="111">
        <f t="shared" si="24"/>
        <v>40817.01</v>
      </c>
      <c r="BP84" s="111">
        <f t="shared" si="25"/>
        <v>40330</v>
      </c>
      <c r="BQ84">
        <f>BILL!D9</f>
        <v>40330</v>
      </c>
      <c r="BR84">
        <f t="shared" si="22"/>
        <v>40330</v>
      </c>
      <c r="BS84">
        <f>BILL!Z9</f>
        <v>15392</v>
      </c>
      <c r="BT84">
        <f>BILL!X9</f>
        <v>150</v>
      </c>
      <c r="BU84">
        <f>BILL!P9</f>
        <v>15392</v>
      </c>
      <c r="BV84">
        <f>BILL!N9</f>
        <v>150</v>
      </c>
      <c r="BW84">
        <f>VLOOKUP(BN84,BR79:BV112,2,TRUE)</f>
        <v>15392</v>
      </c>
      <c r="BX84">
        <f>VLOOKUP(BN84,BR79:BV112,3,TRUE)</f>
        <v>150</v>
      </c>
      <c r="BY84">
        <f>VLOOKUP(BN84,BR79:BV112,4,TRUE)</f>
        <v>15392</v>
      </c>
      <c r="BZ84">
        <f>VLOOKUP(BN84,BR79:BV112,5,TRUE)</f>
        <v>150</v>
      </c>
    </row>
    <row r="85" spans="3:78" ht="12.75" hidden="1">
      <c r="C85" s="127"/>
      <c r="D85" s="12">
        <v>4</v>
      </c>
      <c r="E85" s="127">
        <f>K85</f>
        <v>41183</v>
      </c>
      <c r="F85" s="127">
        <f>IF(BM58=0,MAX(E82:E89)+0.03,BM58)</f>
        <v>40817</v>
      </c>
      <c r="G85" s="461">
        <f>VLOOKUP(G84,Z53:AB136,IF(OR(AND(E42=O107,E43=O114,E86=F85),AND(E42=O107,E43=O113,F84=E86)),3,2),TRUE)</f>
        <v>13660</v>
      </c>
      <c r="H85" s="465">
        <f t="shared" si="26"/>
        <v>13660</v>
      </c>
      <c r="I85" s="127">
        <f t="shared" si="23"/>
        <v>41183</v>
      </c>
      <c r="J85">
        <v>4</v>
      </c>
      <c r="K85" s="540">
        <f>IF(AND(F54=18,E63&lt;L82),L85,E75)</f>
        <v>41183</v>
      </c>
      <c r="L85" s="466">
        <v>41306</v>
      </c>
      <c r="M85" s="101"/>
      <c r="S85" s="15"/>
      <c r="T85" s="15"/>
      <c r="U85" s="15"/>
      <c r="V85" s="15"/>
      <c r="W85" s="15"/>
      <c r="X85" s="451"/>
      <c r="Y85" s="450">
        <v>33</v>
      </c>
      <c r="Z85" s="12">
        <f>Z84+450</f>
        <v>16150</v>
      </c>
      <c r="AA85" s="12">
        <f>AA84+450</f>
        <v>16600</v>
      </c>
      <c r="AB85" s="12">
        <v>17050</v>
      </c>
      <c r="AC85" s="126">
        <v>33</v>
      </c>
      <c r="AD85" s="12">
        <f>AD84+420</f>
        <v>15700</v>
      </c>
      <c r="AE85" s="15"/>
      <c r="BE85" s="12">
        <v>33</v>
      </c>
      <c r="BF85" s="12" t="s">
        <v>245</v>
      </c>
      <c r="BH85" s="12">
        <f>BH84+450</f>
        <v>16150</v>
      </c>
      <c r="BI85">
        <v>33</v>
      </c>
      <c r="BJ85" s="111">
        <v>40781</v>
      </c>
      <c r="BK85" s="2">
        <v>39662</v>
      </c>
      <c r="BN85" s="2">
        <v>40360</v>
      </c>
      <c r="BO85" s="111">
        <f t="shared" si="24"/>
        <v>40817.01</v>
      </c>
      <c r="BP85" s="111">
        <f t="shared" si="25"/>
        <v>40360</v>
      </c>
      <c r="BQ85">
        <f>BILL!D10</f>
        <v>40360</v>
      </c>
      <c r="BR85">
        <f t="shared" si="22"/>
        <v>40360</v>
      </c>
      <c r="BS85">
        <f>BILL!Z10</f>
        <v>16435</v>
      </c>
      <c r="BT85">
        <f>BILL!X10</f>
        <v>150</v>
      </c>
      <c r="BU85">
        <f>BILL!P10</f>
        <v>16435</v>
      </c>
      <c r="BV85">
        <f>BILL!N10</f>
        <v>150</v>
      </c>
      <c r="BW85">
        <f>VLOOKUP(BN85,BR79:BV112,2,TRUE)</f>
        <v>16435</v>
      </c>
      <c r="BX85">
        <f>VLOOKUP(BN85,BR79:BV112,3,TRUE)</f>
        <v>150</v>
      </c>
      <c r="BY85">
        <f>VLOOKUP(BN85,BR79:BV112,4,TRUE)</f>
        <v>16435</v>
      </c>
      <c r="BZ85">
        <f>VLOOKUP(BN85,BR79:BV112,5,TRUE)</f>
        <v>150</v>
      </c>
    </row>
    <row r="86" spans="3:78" ht="12.75" hidden="1">
      <c r="C86" s="127"/>
      <c r="D86" s="12">
        <v>5</v>
      </c>
      <c r="E86" s="127">
        <f>IF(E42=O107,E139,K83)</f>
        <v>40628.01</v>
      </c>
      <c r="F86" s="127">
        <f>IF(BM59=0,MAX(E82:E89)+0.04,BM59)</f>
        <v>41183</v>
      </c>
      <c r="G86" s="461">
        <f>VLOOKUP(G85,Z53:AB136,IF(OR(AND(E42=O107,E43=O114,E86=F86),AND(E42=O107,E43=O113,F85=E86)),3,2),TRUE)</f>
        <v>14050</v>
      </c>
      <c r="H86" s="465">
        <f t="shared" si="26"/>
        <v>14050</v>
      </c>
      <c r="I86" s="127">
        <f t="shared" si="23"/>
        <v>41183.05</v>
      </c>
      <c r="J86">
        <v>5</v>
      </c>
      <c r="S86" s="15"/>
      <c r="T86" s="15"/>
      <c r="U86" s="15"/>
      <c r="V86" s="15"/>
      <c r="W86" s="15"/>
      <c r="X86" s="451"/>
      <c r="Y86" s="450">
        <v>34</v>
      </c>
      <c r="Z86" s="12">
        <f>Z85+450</f>
        <v>16600</v>
      </c>
      <c r="AA86" s="12">
        <f>AA85+450</f>
        <v>17050</v>
      </c>
      <c r="AB86" s="12">
        <v>17540</v>
      </c>
      <c r="AC86" s="126">
        <v>34</v>
      </c>
      <c r="AD86" s="12">
        <f>AD85+450</f>
        <v>16150</v>
      </c>
      <c r="AE86" s="15"/>
      <c r="BE86" s="12">
        <v>34</v>
      </c>
      <c r="BF86" s="12" t="s">
        <v>246</v>
      </c>
      <c r="BH86" s="12">
        <f>BH85+450</f>
        <v>16600</v>
      </c>
      <c r="BI86">
        <v>34</v>
      </c>
      <c r="BJ86" s="111">
        <v>40782</v>
      </c>
      <c r="BK86" s="2">
        <v>39663</v>
      </c>
      <c r="BN86" s="2">
        <v>40391</v>
      </c>
      <c r="BO86" s="111">
        <f t="shared" si="24"/>
        <v>40817.01</v>
      </c>
      <c r="BP86" s="111">
        <f t="shared" si="25"/>
        <v>40391</v>
      </c>
      <c r="BQ86">
        <f>BILL!D11</f>
        <v>40391</v>
      </c>
      <c r="BR86">
        <f t="shared" si="22"/>
        <v>40391</v>
      </c>
      <c r="BS86">
        <f>BILL!Z11</f>
        <v>16435</v>
      </c>
      <c r="BT86">
        <f>BILL!X11</f>
        <v>150</v>
      </c>
      <c r="BU86">
        <f>BILL!P11</f>
        <v>16435</v>
      </c>
      <c r="BV86">
        <f>BILL!N11</f>
        <v>150</v>
      </c>
      <c r="BW86">
        <f>VLOOKUP(BN86,BR79:BV112,2,TRUE)</f>
        <v>16435</v>
      </c>
      <c r="BX86">
        <f>VLOOKUP(BN86,BR79:BV112,3,TRUE)</f>
        <v>150</v>
      </c>
      <c r="BY86">
        <f>VLOOKUP(BN86,BR79:BV112,4,TRUE)</f>
        <v>16435</v>
      </c>
      <c r="BZ86">
        <f>VLOOKUP(BN86,BR79:BV112,5,TRUE)</f>
        <v>150</v>
      </c>
    </row>
    <row r="87" spans="3:78" ht="12.75" hidden="1">
      <c r="C87" s="12"/>
      <c r="D87" s="12">
        <v>6</v>
      </c>
      <c r="E87" s="127">
        <f>IF(AND(E42=O107,E43=O114),DATE(YEAR(E86)+1,MONTH(E86),1),E86)</f>
        <v>40628.01</v>
      </c>
      <c r="F87" s="127">
        <f>IF(BM60=0,MAX(E82:E89)+0.05,BM60)</f>
        <v>41183.05</v>
      </c>
      <c r="G87" s="12">
        <f>VLOOKUP(G86,Z53:AB136,IF(OR(AND(E42=O107,E43=O114,E86=F86),AND(E42=O107,E43=O113,F85=E86)),3,2),TRUE)</f>
        <v>14440</v>
      </c>
      <c r="H87" s="465">
        <f t="shared" si="26"/>
        <v>14440</v>
      </c>
      <c r="I87" s="127">
        <f t="shared" si="23"/>
        <v>41183.06</v>
      </c>
      <c r="J87">
        <v>6</v>
      </c>
      <c r="S87" s="15"/>
      <c r="T87" s="15"/>
      <c r="U87" s="15"/>
      <c r="V87" s="15"/>
      <c r="W87" s="15"/>
      <c r="X87" s="451"/>
      <c r="Y87" s="450">
        <v>35</v>
      </c>
      <c r="Z87" s="12">
        <f>Z86+450</f>
        <v>17050</v>
      </c>
      <c r="AA87" s="12">
        <f>AA86+490</f>
        <v>17540</v>
      </c>
      <c r="AB87" s="12">
        <v>18030</v>
      </c>
      <c r="AC87" s="126">
        <v>35</v>
      </c>
      <c r="AD87" s="12">
        <f>AD86+450</f>
        <v>16600</v>
      </c>
      <c r="AE87" s="15"/>
      <c r="BE87" s="12">
        <v>35</v>
      </c>
      <c r="BF87" s="12" t="s">
        <v>247</v>
      </c>
      <c r="BH87" s="12">
        <f>BH86+450</f>
        <v>17050</v>
      </c>
      <c r="BI87">
        <v>35</v>
      </c>
      <c r="BJ87" s="111">
        <v>40783</v>
      </c>
      <c r="BK87" s="2">
        <v>39664</v>
      </c>
      <c r="BN87" s="2">
        <v>40422</v>
      </c>
      <c r="BO87" s="111">
        <f t="shared" si="24"/>
        <v>40817.01</v>
      </c>
      <c r="BP87" s="111">
        <f t="shared" si="25"/>
        <v>40422</v>
      </c>
      <c r="BQ87">
        <f>BILL!D12</f>
        <v>40422</v>
      </c>
      <c r="BR87">
        <f t="shared" si="22"/>
        <v>40422</v>
      </c>
      <c r="BS87">
        <f>BILL!Z12</f>
        <v>16435</v>
      </c>
      <c r="BT87">
        <f>BILL!X12</f>
        <v>150</v>
      </c>
      <c r="BU87">
        <f>BILL!P12</f>
        <v>16435</v>
      </c>
      <c r="BV87">
        <f>BILL!N12</f>
        <v>150</v>
      </c>
      <c r="BW87">
        <f>VLOOKUP(BN87,BR79:BV112,2,TRUE)</f>
        <v>16435</v>
      </c>
      <c r="BX87">
        <f>VLOOKUP(BN87,BR79:BV112,3,TRUE)</f>
        <v>150</v>
      </c>
      <c r="BY87">
        <f>VLOOKUP(BN87,BR79:BV112,4,TRUE)</f>
        <v>16435</v>
      </c>
      <c r="BZ87">
        <f>VLOOKUP(BN87,BR79:BV112,5,TRUE)</f>
        <v>150</v>
      </c>
    </row>
    <row r="88" spans="3:78" ht="12.75" hidden="1">
      <c r="C88" s="12"/>
      <c r="D88" s="12">
        <v>7</v>
      </c>
      <c r="E88" s="127">
        <f>IF(AND(E42=O107,E43=O114),DATE(YEAR(E87)+1,MONTH(86),1),E87)</f>
        <v>40628.01</v>
      </c>
      <c r="F88" s="127">
        <f>IF(BM61=0,MAX(E82:E89)+0.06,BM61)</f>
        <v>41183.06</v>
      </c>
      <c r="G88" s="12">
        <f>VLOOKUP(G87,Z53:AB136,IF(OR(AND(E42=O107,E43=O114,E86=F88),AND(E42=O107,E43=O113,F87=E86)),3,2),TRUE)</f>
        <v>14860</v>
      </c>
      <c r="H88" s="465">
        <f t="shared" si="26"/>
        <v>14860</v>
      </c>
      <c r="I88" s="127">
        <f t="shared" si="23"/>
        <v>41183.07</v>
      </c>
      <c r="J88">
        <v>7</v>
      </c>
      <c r="N88" t="s">
        <v>454</v>
      </c>
      <c r="O88">
        <v>0</v>
      </c>
      <c r="P88" t="s">
        <v>502</v>
      </c>
      <c r="R88" s="18" t="s">
        <v>502</v>
      </c>
      <c r="S88" s="15"/>
      <c r="T88" s="15"/>
      <c r="U88" s="15"/>
      <c r="V88" s="15"/>
      <c r="W88" s="15"/>
      <c r="X88" s="451"/>
      <c r="Y88" s="450">
        <v>36</v>
      </c>
      <c r="Z88" s="12">
        <f>Z87+490</f>
        <v>17540</v>
      </c>
      <c r="AA88" s="12">
        <f>AA87+490</f>
        <v>18030</v>
      </c>
      <c r="AB88" s="12">
        <v>18520</v>
      </c>
      <c r="AC88" s="126">
        <v>36</v>
      </c>
      <c r="AD88" s="12">
        <f>AD87+450</f>
        <v>17050</v>
      </c>
      <c r="AE88" s="15"/>
      <c r="BE88" s="12">
        <v>36</v>
      </c>
      <c r="BF88" s="12" t="s">
        <v>248</v>
      </c>
      <c r="BH88" s="12">
        <f>BH87+490</f>
        <v>17540</v>
      </c>
      <c r="BI88">
        <v>36</v>
      </c>
      <c r="BJ88" s="111">
        <v>40784</v>
      </c>
      <c r="BK88" s="2">
        <v>39665</v>
      </c>
      <c r="BN88" s="2">
        <v>40452</v>
      </c>
      <c r="BO88" s="111">
        <f t="shared" si="24"/>
        <v>40817.01</v>
      </c>
      <c r="BP88" s="111">
        <f t="shared" si="25"/>
        <v>40452</v>
      </c>
      <c r="BQ88">
        <f>BILL!D13</f>
        <v>40452</v>
      </c>
      <c r="BR88">
        <f t="shared" si="22"/>
        <v>40452</v>
      </c>
      <c r="BS88">
        <f>BILL!Z13</f>
        <v>16920</v>
      </c>
      <c r="BT88">
        <f>BILL!X13</f>
        <v>150</v>
      </c>
      <c r="BU88">
        <f>BILL!P13</f>
        <v>16920</v>
      </c>
      <c r="BV88">
        <f>BILL!N13</f>
        <v>150</v>
      </c>
      <c r="BW88">
        <f>VLOOKUP(BN88,BR79:BV112,2,TRUE)</f>
        <v>16920</v>
      </c>
      <c r="BX88">
        <f>VLOOKUP(BN88,BR79:BV112,3,TRUE)</f>
        <v>150</v>
      </c>
      <c r="BY88">
        <f>VLOOKUP(BN88,BR79:BV112,4,TRUE)</f>
        <v>16920</v>
      </c>
      <c r="BZ88">
        <f>VLOOKUP(BN88,BR79:BV112,5,TRUE)</f>
        <v>150</v>
      </c>
    </row>
    <row r="89" spans="3:78" ht="12.75" hidden="1">
      <c r="C89" s="12"/>
      <c r="D89" s="12">
        <v>8</v>
      </c>
      <c r="E89" s="127">
        <f>F70</f>
        <v>40210</v>
      </c>
      <c r="F89" s="127">
        <f>IF(BM62=0,MAX(E82:E89)+0.07,BM62)</f>
        <v>41183.07</v>
      </c>
      <c r="G89" s="12">
        <f>VLOOKUP(G88,Z53:AB136,IF(OR(AND(E42=O107,E43=O114,E86=F89),AND(E42=O107,E43=O113,F88=E86)),3,2),TRUE)</f>
        <v>15280</v>
      </c>
      <c r="H89" s="465">
        <f t="shared" si="26"/>
        <v>15280</v>
      </c>
      <c r="I89" s="111"/>
      <c r="J89">
        <v>8</v>
      </c>
      <c r="N89" t="s">
        <v>504</v>
      </c>
      <c r="O89">
        <v>1</v>
      </c>
      <c r="P89" t="s">
        <v>312</v>
      </c>
      <c r="R89" s="18" t="s">
        <v>703</v>
      </c>
      <c r="S89" s="15"/>
      <c r="T89" s="15"/>
      <c r="U89" s="15"/>
      <c r="V89" s="15"/>
      <c r="W89" s="15"/>
      <c r="X89" s="451"/>
      <c r="Y89" s="450">
        <v>37</v>
      </c>
      <c r="Z89" s="12">
        <f>Z88+490</f>
        <v>18030</v>
      </c>
      <c r="AA89" s="12">
        <f>AA88+490</f>
        <v>18520</v>
      </c>
      <c r="AB89" s="12">
        <v>19050</v>
      </c>
      <c r="AC89" s="126">
        <v>37</v>
      </c>
      <c r="AD89" s="12">
        <f>AD88+490</f>
        <v>17540</v>
      </c>
      <c r="AE89" s="15"/>
      <c r="AJ89">
        <v>1</v>
      </c>
      <c r="AK89">
        <v>2</v>
      </c>
      <c r="AL89">
        <v>3</v>
      </c>
      <c r="AM89">
        <v>4</v>
      </c>
      <c r="AN89">
        <v>5</v>
      </c>
      <c r="AO89">
        <v>6</v>
      </c>
      <c r="AP89">
        <v>7</v>
      </c>
      <c r="AQ89">
        <v>8</v>
      </c>
      <c r="BE89" s="12">
        <v>37</v>
      </c>
      <c r="BF89" s="12" t="s">
        <v>249</v>
      </c>
      <c r="BH89" s="12">
        <f>BH88+490</f>
        <v>18030</v>
      </c>
      <c r="BI89">
        <v>37</v>
      </c>
      <c r="BJ89" s="111">
        <v>40785</v>
      </c>
      <c r="BK89" s="2">
        <v>39666</v>
      </c>
      <c r="BN89" s="2">
        <v>40483</v>
      </c>
      <c r="BO89" s="111">
        <f t="shared" si="24"/>
        <v>40817.01</v>
      </c>
      <c r="BP89" s="111">
        <f t="shared" si="25"/>
        <v>40483</v>
      </c>
      <c r="BQ89">
        <f>BILL!D14</f>
        <v>40483</v>
      </c>
      <c r="BR89">
        <f t="shared" si="22"/>
        <v>40483</v>
      </c>
      <c r="BS89">
        <f>BILL!Z14</f>
        <v>16920</v>
      </c>
      <c r="BT89">
        <f>BILL!X14</f>
        <v>150</v>
      </c>
      <c r="BU89">
        <f>BILL!P14</f>
        <v>16920</v>
      </c>
      <c r="BV89">
        <f>BILL!N14</f>
        <v>150</v>
      </c>
      <c r="BW89">
        <f>VLOOKUP(BN89,BR79:BV112,2,TRUE)</f>
        <v>16920</v>
      </c>
      <c r="BX89">
        <f>VLOOKUP(BN89,BR79:BV112,3,TRUE)</f>
        <v>150</v>
      </c>
      <c r="BY89">
        <f>VLOOKUP(BN89,BR79:BV112,4,TRUE)</f>
        <v>16920</v>
      </c>
      <c r="BZ89">
        <f>VLOOKUP(BN89,BR79:BV112,5,TRUE)</f>
        <v>150</v>
      </c>
    </row>
    <row r="90" spans="5:78" ht="12.75" hidden="1">
      <c r="E90" s="528">
        <f>IF(E69=G66,E69+0.01,E82)</f>
        <v>40210</v>
      </c>
      <c r="N90" t="s">
        <v>505</v>
      </c>
      <c r="O90">
        <v>2</v>
      </c>
      <c r="P90" t="s">
        <v>496</v>
      </c>
      <c r="R90" s="18" t="s">
        <v>704</v>
      </c>
      <c r="S90" s="15"/>
      <c r="T90" s="15"/>
      <c r="U90" s="15"/>
      <c r="V90" s="15"/>
      <c r="W90" s="15"/>
      <c r="X90" s="451"/>
      <c r="Y90" s="450">
        <v>38</v>
      </c>
      <c r="Z90" s="12">
        <f>Z89+490</f>
        <v>18520</v>
      </c>
      <c r="AA90" s="12">
        <f>AA89+530</f>
        <v>19050</v>
      </c>
      <c r="AB90" s="12">
        <v>19580</v>
      </c>
      <c r="AC90" s="126">
        <v>38</v>
      </c>
      <c r="AD90" s="12">
        <f>AD89+490</f>
        <v>18030</v>
      </c>
      <c r="AE90" s="15"/>
      <c r="AF90" s="111">
        <f>AJ103</f>
        <v>40210</v>
      </c>
      <c r="AH90" s="111">
        <f>E72</f>
        <v>40210</v>
      </c>
      <c r="AI90" s="111">
        <f>IF(AND(E42=O107,E43=O114,AH90&gt;AH94),F69,AH90)</f>
        <v>40210</v>
      </c>
      <c r="AJ90" s="111" t="str">
        <f aca="true" t="shared" si="27" ref="AJ90:AQ90">IF(AI90=AJ103," ",AI90)</f>
        <v> </v>
      </c>
      <c r="AK90" s="111" t="str">
        <f t="shared" si="27"/>
        <v> </v>
      </c>
      <c r="AL90" s="111" t="str">
        <f t="shared" si="27"/>
        <v> </v>
      </c>
      <c r="AM90" s="111" t="str">
        <f t="shared" si="27"/>
        <v> </v>
      </c>
      <c r="AN90" s="111" t="str">
        <f t="shared" si="27"/>
        <v> </v>
      </c>
      <c r="AO90" s="111" t="str">
        <f t="shared" si="27"/>
        <v> </v>
      </c>
      <c r="AP90" s="111" t="str">
        <f t="shared" si="27"/>
        <v> </v>
      </c>
      <c r="AQ90" s="111" t="str">
        <f t="shared" si="27"/>
        <v> </v>
      </c>
      <c r="AR90" s="111"/>
      <c r="AS90" s="111"/>
      <c r="AT90" s="111"/>
      <c r="BE90" s="12">
        <v>38</v>
      </c>
      <c r="BF90" s="12" t="s">
        <v>250</v>
      </c>
      <c r="BH90" s="12">
        <f>BH89+490</f>
        <v>18520</v>
      </c>
      <c r="BI90">
        <v>38</v>
      </c>
      <c r="BJ90" s="111">
        <v>40786</v>
      </c>
      <c r="BK90" s="2">
        <v>39667</v>
      </c>
      <c r="BN90" s="2">
        <v>40513</v>
      </c>
      <c r="BO90" s="111">
        <f t="shared" si="24"/>
        <v>40817.01</v>
      </c>
      <c r="BP90" s="111">
        <f t="shared" si="25"/>
        <v>40513</v>
      </c>
      <c r="BQ90">
        <f>BILL!D15</f>
        <v>40513</v>
      </c>
      <c r="BR90">
        <f t="shared" si="22"/>
        <v>40513</v>
      </c>
      <c r="BS90">
        <f>BILL!Z15</f>
        <v>16920</v>
      </c>
      <c r="BT90">
        <f>BILL!X15</f>
        <v>150</v>
      </c>
      <c r="BU90">
        <f>BILL!P15</f>
        <v>16920</v>
      </c>
      <c r="BV90">
        <f>BILL!N15</f>
        <v>150</v>
      </c>
      <c r="BW90">
        <f>VLOOKUP(BN90,BR79:BV112,2,TRUE)</f>
        <v>16920</v>
      </c>
      <c r="BX90">
        <f>VLOOKUP(BN90,BR79:BV112,3,TRUE)</f>
        <v>150</v>
      </c>
      <c r="BY90">
        <f>VLOOKUP(BN90,BR79:BV112,4,TRUE)</f>
        <v>16920</v>
      </c>
      <c r="BZ90">
        <f>VLOOKUP(BN90,BR79:BV112,5,TRUE)</f>
        <v>150</v>
      </c>
    </row>
    <row r="91" spans="14:78" ht="12.75" hidden="1">
      <c r="N91" t="s">
        <v>506</v>
      </c>
      <c r="O91">
        <v>3</v>
      </c>
      <c r="P91" t="s">
        <v>551</v>
      </c>
      <c r="R91" s="18" t="s">
        <v>705</v>
      </c>
      <c r="S91" s="15"/>
      <c r="T91" s="15"/>
      <c r="U91" s="15"/>
      <c r="V91" s="15"/>
      <c r="W91" s="15"/>
      <c r="X91" s="451"/>
      <c r="Y91" s="450">
        <v>39</v>
      </c>
      <c r="Z91" s="12">
        <f>Z90+530</f>
        <v>19050</v>
      </c>
      <c r="AA91" s="12">
        <f>AA90+530</f>
        <v>19580</v>
      </c>
      <c r="AB91" s="12">
        <v>20110</v>
      </c>
      <c r="AC91" s="126">
        <v>39</v>
      </c>
      <c r="AD91" s="12">
        <f>AD90+490</f>
        <v>18520</v>
      </c>
      <c r="AE91" s="15"/>
      <c r="AF91" s="111">
        <f>AK103</f>
        <v>40452</v>
      </c>
      <c r="AH91" s="111">
        <f aca="true" t="shared" si="28" ref="AH91:AH97">E73</f>
        <v>40452</v>
      </c>
      <c r="AI91" s="111">
        <f>IF(AND(E42=O107,E43=O114,AH91&gt;AH94),F69,AH91)</f>
        <v>40452</v>
      </c>
      <c r="AJ91" s="111">
        <f aca="true" t="shared" si="29" ref="AJ91:AL97">IF(AI91=AJ104," ",AI91)</f>
        <v>40452</v>
      </c>
      <c r="AK91" s="111" t="str">
        <f t="shared" si="29"/>
        <v> </v>
      </c>
      <c r="AL91" s="111" t="str">
        <f t="shared" si="29"/>
        <v> </v>
      </c>
      <c r="AM91" s="111" t="str">
        <f aca="true" t="shared" si="30" ref="AM91:AQ97">IF(AL91=AM104," ",AL91)</f>
        <v> </v>
      </c>
      <c r="AN91" s="111" t="str">
        <f t="shared" si="30"/>
        <v> </v>
      </c>
      <c r="AO91" s="111" t="str">
        <f t="shared" si="30"/>
        <v> </v>
      </c>
      <c r="AP91" s="111" t="str">
        <f t="shared" si="30"/>
        <v> </v>
      </c>
      <c r="AQ91" s="111" t="str">
        <f t="shared" si="30"/>
        <v> </v>
      </c>
      <c r="AR91" s="111"/>
      <c r="AS91" s="111"/>
      <c r="AT91" s="111"/>
      <c r="BE91" s="12">
        <v>39</v>
      </c>
      <c r="BF91" s="12" t="s">
        <v>251</v>
      </c>
      <c r="BH91" s="12">
        <f>BH90+530</f>
        <v>19050</v>
      </c>
      <c r="BI91">
        <v>39</v>
      </c>
      <c r="BJ91" s="111">
        <v>40787</v>
      </c>
      <c r="BK91" s="2">
        <v>39668</v>
      </c>
      <c r="BN91" s="2">
        <v>40544</v>
      </c>
      <c r="BO91" s="111">
        <f t="shared" si="24"/>
        <v>40817.01</v>
      </c>
      <c r="BP91" s="111">
        <f t="shared" si="25"/>
        <v>40544</v>
      </c>
      <c r="BQ91">
        <f>BILL!D16</f>
        <v>40544</v>
      </c>
      <c r="BR91">
        <f t="shared" si="22"/>
        <v>40544</v>
      </c>
      <c r="BS91">
        <f>BILL!Z16</f>
        <v>17565</v>
      </c>
      <c r="BT91">
        <f>BILL!X16</f>
        <v>150</v>
      </c>
      <c r="BU91">
        <f>BILL!P16</f>
        <v>17565</v>
      </c>
      <c r="BV91">
        <f>BILL!N16</f>
        <v>150</v>
      </c>
      <c r="BW91">
        <f>VLOOKUP(BN91,BR79:BV112,2,TRUE)</f>
        <v>17565</v>
      </c>
      <c r="BX91">
        <f>VLOOKUP(BN91,BR79:BV112,3,TRUE)</f>
        <v>150</v>
      </c>
      <c r="BY91">
        <f>VLOOKUP(BN91,BR79:BV112,4,TRUE)</f>
        <v>17565</v>
      </c>
      <c r="BZ91">
        <f>VLOOKUP(BN91,BR79:BV112,5,TRUE)</f>
        <v>150</v>
      </c>
    </row>
    <row r="92" spans="5:78" ht="12.75" hidden="1">
      <c r="E92" s="111"/>
      <c r="N92" t="s">
        <v>588</v>
      </c>
      <c r="O92">
        <v>4</v>
      </c>
      <c r="P92" t="s">
        <v>497</v>
      </c>
      <c r="R92" s="18" t="s">
        <v>706</v>
      </c>
      <c r="S92" s="15"/>
      <c r="T92" s="15"/>
      <c r="U92" s="15"/>
      <c r="V92" s="15"/>
      <c r="W92" s="15"/>
      <c r="X92" s="451"/>
      <c r="Y92" s="450">
        <v>40</v>
      </c>
      <c r="Z92" s="12">
        <f>Z91+530</f>
        <v>19580</v>
      </c>
      <c r="AA92" s="12">
        <f>AA91+530</f>
        <v>20110</v>
      </c>
      <c r="AB92" s="12">
        <v>20680</v>
      </c>
      <c r="AC92" s="126">
        <v>40</v>
      </c>
      <c r="AD92" s="12">
        <f>AD91+530</f>
        <v>19050</v>
      </c>
      <c r="AE92" s="15"/>
      <c r="AF92" s="111">
        <f>AL103</f>
        <v>40628.01</v>
      </c>
      <c r="AH92" s="111">
        <f t="shared" si="28"/>
        <v>40817</v>
      </c>
      <c r="AI92" s="111">
        <f>IF(AND(E42=O107,E43=O114,AH92&gt;AH94),F69,AH92)</f>
        <v>40817</v>
      </c>
      <c r="AJ92" s="111">
        <f t="shared" si="29"/>
        <v>40817</v>
      </c>
      <c r="AK92" s="111">
        <f t="shared" si="29"/>
        <v>40817</v>
      </c>
      <c r="AL92" s="111">
        <f t="shared" si="29"/>
        <v>40817</v>
      </c>
      <c r="AM92" s="111" t="str">
        <f t="shared" si="30"/>
        <v> </v>
      </c>
      <c r="AN92" s="111" t="str">
        <f t="shared" si="30"/>
        <v> </v>
      </c>
      <c r="AO92" s="111" t="str">
        <f t="shared" si="30"/>
        <v> </v>
      </c>
      <c r="AP92" s="111" t="str">
        <f t="shared" si="30"/>
        <v> </v>
      </c>
      <c r="AQ92" s="111" t="str">
        <f t="shared" si="30"/>
        <v> </v>
      </c>
      <c r="AR92" s="111"/>
      <c r="AS92" s="111"/>
      <c r="AT92" s="111"/>
      <c r="BE92" s="12">
        <v>40</v>
      </c>
      <c r="BF92" s="12" t="s">
        <v>252</v>
      </c>
      <c r="BH92" s="12">
        <f>BH91+530</f>
        <v>19580</v>
      </c>
      <c r="BI92">
        <v>40</v>
      </c>
      <c r="BJ92" s="111">
        <v>40788</v>
      </c>
      <c r="BK92" s="2">
        <v>39669</v>
      </c>
      <c r="BN92" s="2">
        <v>40575</v>
      </c>
      <c r="BO92" s="111">
        <f t="shared" si="24"/>
        <v>40817.01</v>
      </c>
      <c r="BP92" s="111">
        <f t="shared" si="25"/>
        <v>40575</v>
      </c>
      <c r="BQ92">
        <f>BILL!D17</f>
        <v>40575</v>
      </c>
      <c r="BR92">
        <f t="shared" si="22"/>
        <v>40575</v>
      </c>
      <c r="BS92">
        <f>BILL!Z17</f>
        <v>17565</v>
      </c>
      <c r="BT92">
        <f>BILL!X17</f>
        <v>150</v>
      </c>
      <c r="BU92">
        <f>BILL!P17</f>
        <v>17565</v>
      </c>
      <c r="BV92">
        <f>BILL!N17</f>
        <v>150</v>
      </c>
      <c r="BW92">
        <f>VLOOKUP(BN92,BR79:BV112,2,TRUE)</f>
        <v>17565</v>
      </c>
      <c r="BX92">
        <f>VLOOKUP(BN92,BR79:BV112,3,TRUE)</f>
        <v>150</v>
      </c>
      <c r="BY92">
        <f>VLOOKUP(BN92,BR79:BV112,4,TRUE)</f>
        <v>17565</v>
      </c>
      <c r="BZ92">
        <f>VLOOKUP(BN92,BR79:BV112,5,TRUE)</f>
        <v>150</v>
      </c>
    </row>
    <row r="93" spans="3:78" ht="12.75" hidden="1">
      <c r="C93" t="s">
        <v>617</v>
      </c>
      <c r="E93" s="111">
        <f>E135</f>
        <v>37546</v>
      </c>
      <c r="N93" t="s">
        <v>589</v>
      </c>
      <c r="O93">
        <v>5</v>
      </c>
      <c r="P93" t="s">
        <v>498</v>
      </c>
      <c r="R93" s="18" t="s">
        <v>707</v>
      </c>
      <c r="S93" s="15"/>
      <c r="T93" s="15"/>
      <c r="U93" s="15"/>
      <c r="V93" s="15"/>
      <c r="W93" s="15"/>
      <c r="X93" s="451"/>
      <c r="Y93" s="450">
        <v>41</v>
      </c>
      <c r="Z93" s="12">
        <f>Z92+530</f>
        <v>20110</v>
      </c>
      <c r="AA93" s="12">
        <f>AA92+570</f>
        <v>20680</v>
      </c>
      <c r="AB93" s="12">
        <v>21250</v>
      </c>
      <c r="AC93" s="126">
        <v>41</v>
      </c>
      <c r="AD93" s="12">
        <f>AD92+530</f>
        <v>19580</v>
      </c>
      <c r="AE93" s="15"/>
      <c r="AF93" s="111">
        <f>AM103</f>
        <v>40817</v>
      </c>
      <c r="AH93" s="111">
        <f t="shared" si="28"/>
        <v>41183</v>
      </c>
      <c r="AI93" s="111">
        <f>IF(AND(E42=O107,E43=O114,AH93&gt;AH94),F69,AH93)</f>
        <v>41183</v>
      </c>
      <c r="AJ93" s="111">
        <f t="shared" si="29"/>
        <v>41183</v>
      </c>
      <c r="AK93" s="111">
        <f t="shared" si="29"/>
        <v>41183</v>
      </c>
      <c r="AL93" s="111">
        <f t="shared" si="29"/>
        <v>41183</v>
      </c>
      <c r="AM93" s="111">
        <f t="shared" si="30"/>
        <v>41183</v>
      </c>
      <c r="AN93" s="111" t="str">
        <f t="shared" si="30"/>
        <v> </v>
      </c>
      <c r="AO93" s="111" t="str">
        <f t="shared" si="30"/>
        <v> </v>
      </c>
      <c r="AP93" s="111" t="str">
        <f t="shared" si="30"/>
        <v> </v>
      </c>
      <c r="AQ93" s="111" t="str">
        <f t="shared" si="30"/>
        <v> </v>
      </c>
      <c r="AR93" s="111"/>
      <c r="AS93" s="111"/>
      <c r="AT93" s="111"/>
      <c r="BE93" s="12">
        <v>41</v>
      </c>
      <c r="BF93" s="12" t="s">
        <v>253</v>
      </c>
      <c r="BH93" s="12">
        <f>BH92+530</f>
        <v>20110</v>
      </c>
      <c r="BI93">
        <v>41</v>
      </c>
      <c r="BJ93" s="111">
        <v>40789</v>
      </c>
      <c r="BK93" s="2">
        <v>39670</v>
      </c>
      <c r="BN93" s="2">
        <v>40603</v>
      </c>
      <c r="BO93" s="111">
        <f t="shared" si="24"/>
        <v>40817.01</v>
      </c>
      <c r="BP93" s="111">
        <f t="shared" si="25"/>
        <v>40603</v>
      </c>
      <c r="BQ93">
        <f>BILL!D18</f>
        <v>40603</v>
      </c>
      <c r="BR93">
        <f t="shared" si="22"/>
        <v>40603</v>
      </c>
      <c r="BS93">
        <f>BILL!Z18</f>
        <v>17663</v>
      </c>
      <c r="BT93">
        <f>BILL!X18</f>
        <v>150</v>
      </c>
      <c r="BU93">
        <f>BILL!P18</f>
        <v>17663</v>
      </c>
      <c r="BV93">
        <f>BILL!N18</f>
        <v>150</v>
      </c>
      <c r="BW93">
        <f>VLOOKUP(BN93,BR79:BV112,2,TRUE)</f>
        <v>17663</v>
      </c>
      <c r="BX93">
        <f>VLOOKUP(BN93,BR79:BV112,3,TRUE)</f>
        <v>150</v>
      </c>
      <c r="BY93">
        <f>VLOOKUP(BN93,BR79:BV112,4,TRUE)</f>
        <v>17663</v>
      </c>
      <c r="BZ93">
        <f>VLOOKUP(BN93,BR79:BV112,5,TRUE)</f>
        <v>150</v>
      </c>
    </row>
    <row r="94" spans="3:78" ht="12.75" hidden="1">
      <c r="C94" t="s">
        <v>618</v>
      </c>
      <c r="E94" s="111">
        <f>E93</f>
        <v>37546</v>
      </c>
      <c r="O94">
        <v>6</v>
      </c>
      <c r="P94" t="s">
        <v>499</v>
      </c>
      <c r="S94" s="15"/>
      <c r="T94" s="15"/>
      <c r="U94" s="15"/>
      <c r="V94" s="15"/>
      <c r="W94" s="15"/>
      <c r="X94" s="451"/>
      <c r="Y94" s="450">
        <v>42</v>
      </c>
      <c r="Z94" s="12">
        <f>Z93+570</f>
        <v>20680</v>
      </c>
      <c r="AA94" s="12">
        <f>AA93+570</f>
        <v>21250</v>
      </c>
      <c r="AB94" s="12">
        <v>21820</v>
      </c>
      <c r="AC94" s="126">
        <v>42</v>
      </c>
      <c r="AD94" s="12">
        <f>AD93+530</f>
        <v>20110</v>
      </c>
      <c r="AE94" s="15"/>
      <c r="AF94" s="111">
        <f>AN103</f>
        <v>41183</v>
      </c>
      <c r="AH94" s="111">
        <f t="shared" si="28"/>
        <v>40628.01</v>
      </c>
      <c r="AI94" s="111">
        <f>AH94</f>
        <v>40628.01</v>
      </c>
      <c r="AJ94" s="111">
        <f t="shared" si="29"/>
        <v>40628.01</v>
      </c>
      <c r="AK94" s="111">
        <f t="shared" si="29"/>
        <v>40628.01</v>
      </c>
      <c r="AL94" s="111" t="str">
        <f t="shared" si="29"/>
        <v> </v>
      </c>
      <c r="AM94" s="111" t="str">
        <f t="shared" si="30"/>
        <v> </v>
      </c>
      <c r="AN94" s="111" t="str">
        <f t="shared" si="30"/>
        <v> </v>
      </c>
      <c r="AO94" s="111" t="str">
        <f t="shared" si="30"/>
        <v> </v>
      </c>
      <c r="AP94" s="111" t="str">
        <f t="shared" si="30"/>
        <v> </v>
      </c>
      <c r="AQ94" s="111" t="str">
        <f t="shared" si="30"/>
        <v> </v>
      </c>
      <c r="AR94" s="111"/>
      <c r="AS94" s="111"/>
      <c r="AT94" s="111"/>
      <c r="BE94" s="12">
        <v>42</v>
      </c>
      <c r="BF94" s="12" t="s">
        <v>254</v>
      </c>
      <c r="BH94" s="12">
        <f>BH93+570</f>
        <v>20680</v>
      </c>
      <c r="BI94">
        <v>42</v>
      </c>
      <c r="BJ94" s="111">
        <v>40790</v>
      </c>
      <c r="BK94" s="2">
        <v>39671</v>
      </c>
      <c r="BN94" s="2">
        <v>40634</v>
      </c>
      <c r="BO94" s="111">
        <f t="shared" si="24"/>
        <v>40817.01</v>
      </c>
      <c r="BP94" s="111">
        <f t="shared" si="25"/>
        <v>40634</v>
      </c>
      <c r="BQ94">
        <f>BILL!D19</f>
        <v>40628.01</v>
      </c>
      <c r="BR94">
        <f t="shared" si="22"/>
        <v>40628.01</v>
      </c>
      <c r="BS94">
        <f>BILL!Z19</f>
        <v>0</v>
      </c>
      <c r="BT94">
        <f>BILL!X19</f>
        <v>0</v>
      </c>
      <c r="BU94">
        <f>BILL!P19</f>
        <v>0</v>
      </c>
      <c r="BV94">
        <f>BILL!N19</f>
        <v>0</v>
      </c>
      <c r="BW94">
        <f>VLOOKUP(BN94,BR79:BV112,2,TRUE)</f>
        <v>18327</v>
      </c>
      <c r="BX94">
        <f>VLOOKUP(BN94,BR79:BV112,3,TRUE)</f>
        <v>150</v>
      </c>
      <c r="BY94">
        <f>VLOOKUP(BN94,BR79:BV112,4,TRUE)</f>
        <v>18327</v>
      </c>
      <c r="BZ94">
        <f>VLOOKUP(BN94,BR79:BV112,5,TRUE)</f>
        <v>150</v>
      </c>
    </row>
    <row r="95" spans="3:78" ht="12.75" hidden="1">
      <c r="C95" t="s">
        <v>619</v>
      </c>
      <c r="E95" s="111">
        <f>E70</f>
        <v>40210</v>
      </c>
      <c r="F95">
        <f>F54</f>
        <v>12</v>
      </c>
      <c r="G95" s="111">
        <f>IF(E95&lt;L82,L82,E95)</f>
        <v>40210</v>
      </c>
      <c r="H95">
        <f>DAY(G95)</f>
        <v>1</v>
      </c>
      <c r="I95">
        <f>MONTH(G95)</f>
        <v>2</v>
      </c>
      <c r="J95">
        <f>YEAR(G95)</f>
        <v>2010</v>
      </c>
      <c r="P95" t="s">
        <v>500</v>
      </c>
      <c r="S95" s="15"/>
      <c r="T95" s="15"/>
      <c r="U95" s="15"/>
      <c r="V95" s="15"/>
      <c r="W95" s="15"/>
      <c r="X95" s="451"/>
      <c r="Y95" s="450">
        <v>43</v>
      </c>
      <c r="Z95" s="12">
        <f>Z94+570</f>
        <v>21250</v>
      </c>
      <c r="AA95" s="12">
        <f>AA94+570</f>
        <v>21820</v>
      </c>
      <c r="AB95" s="12">
        <v>22430</v>
      </c>
      <c r="AC95" s="126">
        <v>43</v>
      </c>
      <c r="AD95" s="12">
        <f>AD94+570</f>
        <v>20680</v>
      </c>
      <c r="AE95" s="15"/>
      <c r="AF95" s="111">
        <f>AO103</f>
        <v>0</v>
      </c>
      <c r="AH95" s="111">
        <f t="shared" si="28"/>
        <v>40628.01</v>
      </c>
      <c r="AI95" s="111">
        <f>IF(AND(E42=O107,E43=O114),AH95,F69)</f>
        <v>40210</v>
      </c>
      <c r="AJ95" s="111" t="str">
        <f t="shared" si="29"/>
        <v> </v>
      </c>
      <c r="AK95" s="111" t="str">
        <f t="shared" si="29"/>
        <v> </v>
      </c>
      <c r="AL95" s="111" t="str">
        <f t="shared" si="29"/>
        <v> </v>
      </c>
      <c r="AM95" s="111" t="str">
        <f t="shared" si="30"/>
        <v> </v>
      </c>
      <c r="AN95" s="111" t="str">
        <f t="shared" si="30"/>
        <v> </v>
      </c>
      <c r="AO95" s="111" t="str">
        <f t="shared" si="30"/>
        <v> </v>
      </c>
      <c r="AP95" s="111" t="str">
        <f t="shared" si="30"/>
        <v> </v>
      </c>
      <c r="AQ95" s="111" t="str">
        <f t="shared" si="30"/>
        <v> </v>
      </c>
      <c r="AR95" s="111"/>
      <c r="AS95" s="111"/>
      <c r="AT95" s="111"/>
      <c r="BE95" s="12">
        <v>43</v>
      </c>
      <c r="BF95" s="12" t="s">
        <v>255</v>
      </c>
      <c r="BH95" s="12">
        <f>BH94+570</f>
        <v>21250</v>
      </c>
      <c r="BI95">
        <v>43</v>
      </c>
      <c r="BJ95" s="111">
        <v>40791</v>
      </c>
      <c r="BK95" s="2">
        <v>39672</v>
      </c>
      <c r="BN95" s="2">
        <v>40664</v>
      </c>
      <c r="BO95" s="111">
        <f t="shared" si="24"/>
        <v>40817.01</v>
      </c>
      <c r="BP95" s="111">
        <f t="shared" si="25"/>
        <v>40664</v>
      </c>
      <c r="BQ95">
        <f>BILL!D20</f>
        <v>40634</v>
      </c>
      <c r="BR95">
        <f t="shared" si="22"/>
        <v>40634</v>
      </c>
      <c r="BS95">
        <f>BILL!Z20</f>
        <v>18327</v>
      </c>
      <c r="BT95">
        <f>BILL!X20</f>
        <v>150</v>
      </c>
      <c r="BU95">
        <f>BILL!P20</f>
        <v>18327</v>
      </c>
      <c r="BV95">
        <f>BILL!N20</f>
        <v>150</v>
      </c>
      <c r="BW95">
        <f>VLOOKUP(BN95,BR79:BV112,2,TRUE)</f>
        <v>18327</v>
      </c>
      <c r="BX95">
        <f>VLOOKUP(BN95,BR79:BV112,3,TRUE)</f>
        <v>150</v>
      </c>
      <c r="BY95">
        <f>VLOOKUP(BN95,BR79:BV112,4,TRUE)</f>
        <v>18327</v>
      </c>
      <c r="BZ95">
        <f>VLOOKUP(BN95,BR79:BV112,5,TRUE)</f>
        <v>150</v>
      </c>
    </row>
    <row r="96" spans="3:78" ht="12.75" hidden="1">
      <c r="C96" t="s">
        <v>620</v>
      </c>
      <c r="E96" t="str">
        <f>IF(E65=0,"NIL",E65)</f>
        <v>NIL</v>
      </c>
      <c r="H96" t="str">
        <f>CONCATENATE(H95,"-",I95,"-",J95)</f>
        <v>1-2-2010</v>
      </c>
      <c r="N96" s="318" t="s">
        <v>626</v>
      </c>
      <c r="S96" s="15"/>
      <c r="T96" s="15"/>
      <c r="U96" s="15"/>
      <c r="V96" s="15"/>
      <c r="W96" s="15"/>
      <c r="X96" s="451"/>
      <c r="Y96" s="450">
        <v>44</v>
      </c>
      <c r="Z96" s="12">
        <f>Z95+570</f>
        <v>21820</v>
      </c>
      <c r="AA96" s="12">
        <f>AA95+610</f>
        <v>22430</v>
      </c>
      <c r="AB96" s="12">
        <v>23040</v>
      </c>
      <c r="AC96" s="126">
        <v>44</v>
      </c>
      <c r="AD96" s="12">
        <f>AD95+570</f>
        <v>21250</v>
      </c>
      <c r="AE96" s="15"/>
      <c r="AF96" s="111">
        <f>AP103</f>
        <v>0</v>
      </c>
      <c r="AH96" s="111">
        <f t="shared" si="28"/>
        <v>40628.01</v>
      </c>
      <c r="AI96" s="111">
        <f>IF(AND(E42=O107,E43=O114),AH96,F69)</f>
        <v>40210</v>
      </c>
      <c r="AJ96" s="111" t="str">
        <f t="shared" si="29"/>
        <v> </v>
      </c>
      <c r="AK96" s="111" t="str">
        <f t="shared" si="29"/>
        <v> </v>
      </c>
      <c r="AL96" s="111" t="str">
        <f t="shared" si="29"/>
        <v> </v>
      </c>
      <c r="AM96" s="111" t="str">
        <f t="shared" si="30"/>
        <v> </v>
      </c>
      <c r="AN96" s="111" t="str">
        <f t="shared" si="30"/>
        <v> </v>
      </c>
      <c r="AO96" s="111" t="str">
        <f t="shared" si="30"/>
        <v> </v>
      </c>
      <c r="AP96" s="111" t="str">
        <f t="shared" si="30"/>
        <v> </v>
      </c>
      <c r="AQ96" s="111" t="str">
        <f t="shared" si="30"/>
        <v> </v>
      </c>
      <c r="AR96" s="111"/>
      <c r="AS96" s="111"/>
      <c r="AT96" s="111"/>
      <c r="BE96" s="12">
        <v>44</v>
      </c>
      <c r="BF96" s="12" t="s">
        <v>256</v>
      </c>
      <c r="BH96" s="12">
        <f>BH95+570</f>
        <v>21820</v>
      </c>
      <c r="BI96">
        <v>44</v>
      </c>
      <c r="BJ96" s="111">
        <v>40792</v>
      </c>
      <c r="BK96" s="2">
        <v>39673</v>
      </c>
      <c r="BN96" s="2">
        <v>40695</v>
      </c>
      <c r="BO96" s="111">
        <f t="shared" si="24"/>
        <v>40817.01</v>
      </c>
      <c r="BP96" s="111">
        <f t="shared" si="25"/>
        <v>40695</v>
      </c>
      <c r="BQ96">
        <f>BILL!D21</f>
        <v>40664</v>
      </c>
      <c r="BR96">
        <f t="shared" si="22"/>
        <v>40664</v>
      </c>
      <c r="BS96">
        <f>BILL!Z21</f>
        <v>18327</v>
      </c>
      <c r="BT96">
        <f>BILL!X21</f>
        <v>150</v>
      </c>
      <c r="BU96">
        <f>BILL!P21</f>
        <v>18327</v>
      </c>
      <c r="BV96">
        <f>BILL!N21</f>
        <v>150</v>
      </c>
      <c r="BW96">
        <f>VLOOKUP(BN96,BR79:BV112,2,TRUE)</f>
        <v>18327</v>
      </c>
      <c r="BX96">
        <f>VLOOKUP(BN96,BR79:BV112,3,TRUE)</f>
        <v>150</v>
      </c>
      <c r="BY96">
        <f>VLOOKUP(BN96,BR79:BV112,4,TRUE)</f>
        <v>18327</v>
      </c>
      <c r="BZ96">
        <f>VLOOKUP(BN96,BR79:BV112,5,TRUE)</f>
        <v>150</v>
      </c>
    </row>
    <row r="97" spans="3:78" ht="12.75" hidden="1">
      <c r="C97" t="s">
        <v>621</v>
      </c>
      <c r="E97" s="113">
        <f>F245</f>
        <v>12190</v>
      </c>
      <c r="F97" t="str">
        <f>O64</f>
        <v>11530-330-12190-360-13270-390-14440-420-15700-450-17050-490-18520-530-20110-570-21820-610-23650-650-25600-700-27700-750-29950-800-32350-850-33200</v>
      </c>
      <c r="G97" t="str">
        <f>VLOOKUP(F97,U60:V69,2,TRUE)</f>
        <v>11530-33200</v>
      </c>
      <c r="N97" s="318" t="s">
        <v>627</v>
      </c>
      <c r="S97" s="15"/>
      <c r="T97" s="15"/>
      <c r="U97" s="15"/>
      <c r="V97" s="15"/>
      <c r="W97" s="15"/>
      <c r="X97" s="451"/>
      <c r="Y97" s="450">
        <v>45</v>
      </c>
      <c r="Z97" s="12">
        <f>Z96+610</f>
        <v>22430</v>
      </c>
      <c r="AA97" s="12">
        <f>AA96+610</f>
        <v>23040</v>
      </c>
      <c r="AB97" s="12">
        <v>23650</v>
      </c>
      <c r="AC97" s="126">
        <v>45</v>
      </c>
      <c r="AD97" s="12">
        <f>AD96+570</f>
        <v>21820</v>
      </c>
      <c r="AE97" s="15"/>
      <c r="AF97" s="111">
        <f>AQ103</f>
        <v>0</v>
      </c>
      <c r="AH97" s="111">
        <f t="shared" si="28"/>
        <v>40210</v>
      </c>
      <c r="AI97" s="111">
        <f>AH97</f>
        <v>40210</v>
      </c>
      <c r="AJ97" s="111" t="str">
        <f t="shared" si="29"/>
        <v> </v>
      </c>
      <c r="AK97" s="111" t="str">
        <f t="shared" si="29"/>
        <v> </v>
      </c>
      <c r="AL97" s="111" t="str">
        <f t="shared" si="29"/>
        <v> </v>
      </c>
      <c r="AM97" s="111" t="str">
        <f t="shared" si="30"/>
        <v> </v>
      </c>
      <c r="AN97" s="111" t="str">
        <f t="shared" si="30"/>
        <v> </v>
      </c>
      <c r="AO97" s="111" t="str">
        <f t="shared" si="30"/>
        <v> </v>
      </c>
      <c r="AP97" s="111" t="str">
        <f t="shared" si="30"/>
        <v> </v>
      </c>
      <c r="AQ97" s="111" t="str">
        <f t="shared" si="30"/>
        <v> </v>
      </c>
      <c r="AR97" s="111"/>
      <c r="AS97" s="111"/>
      <c r="AT97" s="111"/>
      <c r="BE97" s="12">
        <v>45</v>
      </c>
      <c r="BF97" s="12" t="s">
        <v>257</v>
      </c>
      <c r="BH97" s="12">
        <f>BH96+610</f>
        <v>22430</v>
      </c>
      <c r="BI97">
        <v>45</v>
      </c>
      <c r="BJ97" s="111">
        <v>40793</v>
      </c>
      <c r="BK97" s="2">
        <v>39674</v>
      </c>
      <c r="BN97" s="2">
        <v>40725</v>
      </c>
      <c r="BO97" s="111">
        <f t="shared" si="24"/>
        <v>40817.01</v>
      </c>
      <c r="BP97" s="111">
        <f t="shared" si="25"/>
        <v>40725</v>
      </c>
      <c r="BQ97">
        <f>BILL!D22</f>
        <v>0</v>
      </c>
      <c r="BR97">
        <f t="shared" si="22"/>
        <v>40664.1</v>
      </c>
      <c r="BS97">
        <f>BILL!Z22</f>
        <v>0</v>
      </c>
      <c r="BT97">
        <f>BILL!X22</f>
        <v>0</v>
      </c>
      <c r="BU97">
        <f>BILL!P22</f>
        <v>0</v>
      </c>
      <c r="BV97">
        <f>BILL!N22</f>
        <v>0</v>
      </c>
      <c r="BW97">
        <f>VLOOKUP(BN97,BR79:BV112,2,TRUE)</f>
        <v>18327</v>
      </c>
      <c r="BX97">
        <f>VLOOKUP(BN97,BR79:BV112,3,TRUE)</f>
        <v>150</v>
      </c>
      <c r="BY97">
        <f>VLOOKUP(BN97,BR79:BV112,4,TRUE)</f>
        <v>18327</v>
      </c>
      <c r="BZ97">
        <f>VLOOKUP(BN97,BR79:BV112,5,TRUE)</f>
        <v>150</v>
      </c>
    </row>
    <row r="98" spans="3:78" ht="12.75" hidden="1">
      <c r="C98" t="s">
        <v>622</v>
      </c>
      <c r="E98" s="113">
        <f>G245</f>
        <v>12190</v>
      </c>
      <c r="F98" t="str">
        <f>P74</f>
        <v>14860-420-15700-450-17050-490-18520-530-20110-570-21820-610-23650-650-25600-700-27700-750-29950-800-32350-850-34900-900-37600-970-39540</v>
      </c>
      <c r="G98" t="str">
        <f>VLOOKUP(F98,U60:V69,2,TRUE)</f>
        <v>14860-39540</v>
      </c>
      <c r="N98" s="318" t="s">
        <v>628</v>
      </c>
      <c r="S98" s="15"/>
      <c r="T98" s="15"/>
      <c r="U98" s="15"/>
      <c r="V98" s="15"/>
      <c r="W98" s="15"/>
      <c r="X98" s="451"/>
      <c r="Y98" s="450">
        <v>46</v>
      </c>
      <c r="Z98" s="12">
        <f>Z97+610</f>
        <v>23040</v>
      </c>
      <c r="AA98" s="12">
        <f>AA97+610</f>
        <v>23650</v>
      </c>
      <c r="AB98" s="12">
        <v>24300</v>
      </c>
      <c r="AC98" s="126">
        <v>46</v>
      </c>
      <c r="AD98" s="12">
        <f>AD97+610</f>
        <v>22430</v>
      </c>
      <c r="AE98" s="15"/>
      <c r="AI98" s="111"/>
      <c r="AJ98" s="111"/>
      <c r="AK98" s="111"/>
      <c r="AL98" s="111"/>
      <c r="AM98" s="111"/>
      <c r="AN98" s="111"/>
      <c r="AO98" s="111"/>
      <c r="AP98" s="111"/>
      <c r="AQ98" s="111"/>
      <c r="AR98" s="111"/>
      <c r="AS98" s="111"/>
      <c r="AT98" s="111"/>
      <c r="BE98" s="12">
        <v>46</v>
      </c>
      <c r="BF98" s="12" t="s">
        <v>258</v>
      </c>
      <c r="BH98" s="12">
        <f>BH97+610</f>
        <v>23040</v>
      </c>
      <c r="BI98">
        <v>46</v>
      </c>
      <c r="BJ98" s="111">
        <v>40794</v>
      </c>
      <c r="BK98" s="2">
        <v>39675</v>
      </c>
      <c r="BN98" s="2">
        <v>40756</v>
      </c>
      <c r="BO98" s="111">
        <f t="shared" si="24"/>
        <v>40817.01</v>
      </c>
      <c r="BP98" s="111">
        <f t="shared" si="25"/>
        <v>40756</v>
      </c>
      <c r="BQ98">
        <f>BILL!D23</f>
        <v>0</v>
      </c>
      <c r="BR98">
        <f t="shared" si="22"/>
        <v>40664.2</v>
      </c>
      <c r="BS98">
        <f>BILL!Z23</f>
        <v>0</v>
      </c>
      <c r="BT98">
        <f>BILL!X23</f>
        <v>0</v>
      </c>
      <c r="BU98">
        <f>BILL!P23</f>
        <v>0</v>
      </c>
      <c r="BV98">
        <f>BILL!N23</f>
        <v>0</v>
      </c>
      <c r="BW98">
        <f>VLOOKUP(BN98,BR79:BV112,2,TRUE)</f>
        <v>18327</v>
      </c>
      <c r="BX98">
        <f>VLOOKUP(BN98,BR79:BV112,3,TRUE)</f>
        <v>150</v>
      </c>
      <c r="BY98">
        <f>VLOOKUP(BN98,BR79:BV112,4,TRUE)</f>
        <v>18327</v>
      </c>
      <c r="BZ98">
        <f>VLOOKUP(BN98,BR79:BV112,5,TRUE)</f>
        <v>150</v>
      </c>
    </row>
    <row r="99" spans="3:78" ht="12.75" hidden="1">
      <c r="C99" s="318" t="s">
        <v>652</v>
      </c>
      <c r="E99" s="111">
        <f>VLOOKUP(E136,F82:F89,1,TRUE)</f>
        <v>40817</v>
      </c>
      <c r="F99" s="111">
        <f>VLOOKUP(E99,F82:I88,4,TRUE)</f>
        <v>41183</v>
      </c>
      <c r="S99" s="15"/>
      <c r="T99" s="15"/>
      <c r="U99" s="15"/>
      <c r="V99" s="15"/>
      <c r="W99" s="15"/>
      <c r="X99" s="451"/>
      <c r="Y99" s="450">
        <v>47</v>
      </c>
      <c r="Z99" s="12">
        <f>Z98+610</f>
        <v>23650</v>
      </c>
      <c r="AA99" s="12">
        <f>AA98+650</f>
        <v>24300</v>
      </c>
      <c r="AB99" s="12">
        <v>24950</v>
      </c>
      <c r="AC99" s="126">
        <v>47</v>
      </c>
      <c r="AD99" s="12">
        <f>AD98+610</f>
        <v>23040</v>
      </c>
      <c r="AE99" s="15"/>
      <c r="AI99" s="111"/>
      <c r="AJ99" s="111"/>
      <c r="AK99" s="111"/>
      <c r="AL99" s="111"/>
      <c r="AM99" s="111"/>
      <c r="AN99" s="111"/>
      <c r="AO99" s="111"/>
      <c r="AP99" s="111"/>
      <c r="AQ99" s="111"/>
      <c r="AR99" s="111"/>
      <c r="AS99" s="111"/>
      <c r="AT99" s="111"/>
      <c r="BE99" s="12">
        <v>47</v>
      </c>
      <c r="BF99" s="12" t="s">
        <v>259</v>
      </c>
      <c r="BH99" s="12">
        <f>BH98+610</f>
        <v>23650</v>
      </c>
      <c r="BI99">
        <v>47</v>
      </c>
      <c r="BJ99" s="111">
        <v>40795</v>
      </c>
      <c r="BK99" s="2">
        <v>39676</v>
      </c>
      <c r="BN99" s="2">
        <v>40787</v>
      </c>
      <c r="BO99" s="111">
        <f t="shared" si="24"/>
        <v>40817.01</v>
      </c>
      <c r="BP99" s="111">
        <f t="shared" si="25"/>
        <v>40787</v>
      </c>
      <c r="BQ99">
        <f>BILL!D24</f>
        <v>0</v>
      </c>
      <c r="BR99">
        <f t="shared" si="22"/>
        <v>40664.299999999996</v>
      </c>
      <c r="BS99">
        <f>BILL!Z24</f>
        <v>0</v>
      </c>
      <c r="BT99">
        <f>BILL!X24</f>
        <v>0</v>
      </c>
      <c r="BU99">
        <f>BILL!P24</f>
        <v>0</v>
      </c>
      <c r="BV99">
        <f>BILL!N24</f>
        <v>0</v>
      </c>
      <c r="BW99">
        <f>VLOOKUP(BN99,BR79:BV112,2,TRUE)</f>
        <v>18327</v>
      </c>
      <c r="BX99">
        <f>VLOOKUP(BN99,BR79:BV112,3,TRUE)</f>
        <v>150</v>
      </c>
      <c r="BY99">
        <f>VLOOKUP(BN99,BR79:BV112,4,TRUE)</f>
        <v>18327</v>
      </c>
      <c r="BZ99">
        <f>VLOOKUP(BN99,BR79:BV112,5,TRUE)</f>
        <v>150</v>
      </c>
    </row>
    <row r="100" spans="8:78" ht="12.75" hidden="1">
      <c r="H100" s="101"/>
      <c r="I100" s="101"/>
      <c r="N100">
        <v>0</v>
      </c>
      <c r="O100" s="616" t="e">
        <f>IF(H132=1,200,IF(H132=2,120,100))</f>
        <v>#REF!</v>
      </c>
      <c r="P100" s="616"/>
      <c r="Q100">
        <v>0</v>
      </c>
      <c r="S100" s="15"/>
      <c r="T100" s="15"/>
      <c r="U100" s="15"/>
      <c r="V100" s="15"/>
      <c r="W100" s="15"/>
      <c r="X100" s="451"/>
      <c r="Y100" s="450">
        <v>48</v>
      </c>
      <c r="Z100" s="12">
        <f>Z99+650</f>
        <v>24300</v>
      </c>
      <c r="AA100" s="12">
        <f>AA99+650</f>
        <v>24950</v>
      </c>
      <c r="AB100" s="12">
        <v>25600</v>
      </c>
      <c r="AC100" s="126">
        <v>48</v>
      </c>
      <c r="AD100" s="12">
        <f>AD99+610</f>
        <v>23650</v>
      </c>
      <c r="AE100" s="15"/>
      <c r="BE100" s="12">
        <v>48</v>
      </c>
      <c r="BF100" s="12" t="s">
        <v>260</v>
      </c>
      <c r="BH100" s="12">
        <f>BH99+650</f>
        <v>24300</v>
      </c>
      <c r="BI100">
        <v>48</v>
      </c>
      <c r="BJ100" s="111">
        <v>40796</v>
      </c>
      <c r="BK100" s="2">
        <v>39677</v>
      </c>
      <c r="BN100" s="2">
        <v>40817</v>
      </c>
      <c r="BO100" s="111">
        <f t="shared" si="24"/>
        <v>40817.01</v>
      </c>
      <c r="BP100" s="111">
        <f t="shared" si="25"/>
        <v>40817</v>
      </c>
      <c r="BQ100">
        <f>BILL!D25</f>
        <v>0</v>
      </c>
      <c r="BR100">
        <f t="shared" si="22"/>
        <v>40664.399999999994</v>
      </c>
      <c r="BS100">
        <f>BILL!Z25</f>
        <v>0</v>
      </c>
      <c r="BT100">
        <f>BILL!X25</f>
        <v>0</v>
      </c>
      <c r="BU100">
        <f>BILL!P25</f>
        <v>0</v>
      </c>
      <c r="BV100">
        <f>BILL!N25</f>
        <v>0</v>
      </c>
      <c r="BW100">
        <f>VLOOKUP(BN100,BR79:BV112,2,TRUE)</f>
        <v>626</v>
      </c>
      <c r="BX100">
        <f>VLOOKUP(BN100,BR79:BV112,3,TRUE)</f>
        <v>60</v>
      </c>
      <c r="BY100">
        <f>VLOOKUP(BN100,BR79:BV112,4,TRUE)</f>
        <v>626</v>
      </c>
      <c r="BZ100">
        <f>VLOOKUP(BN100,BR79:BV112,5,TRUE)</f>
        <v>60</v>
      </c>
    </row>
    <row r="101" spans="8:78" ht="12.75" hidden="1">
      <c r="H101" s="101"/>
      <c r="I101" s="101"/>
      <c r="N101">
        <v>8201</v>
      </c>
      <c r="O101" s="616" t="e">
        <f>IF(H132=1,300,IF(H132=2,160,120))</f>
        <v>#REF!</v>
      </c>
      <c r="P101" s="616"/>
      <c r="Q101">
        <v>4825</v>
      </c>
      <c r="S101" s="15"/>
      <c r="T101" s="15"/>
      <c r="U101" s="15"/>
      <c r="V101" s="15"/>
      <c r="W101" s="15"/>
      <c r="X101" s="451"/>
      <c r="Y101" s="450">
        <v>49</v>
      </c>
      <c r="Z101" s="12">
        <f>Z100+650</f>
        <v>24950</v>
      </c>
      <c r="AA101" s="12">
        <f>AA100+650</f>
        <v>25600</v>
      </c>
      <c r="AB101" s="12">
        <v>26300</v>
      </c>
      <c r="AC101" s="126">
        <v>49</v>
      </c>
      <c r="AD101" s="12">
        <f>AD100+650</f>
        <v>24300</v>
      </c>
      <c r="AE101" s="15"/>
      <c r="BE101" s="12">
        <v>49</v>
      </c>
      <c r="BF101" s="12" t="s">
        <v>261</v>
      </c>
      <c r="BH101" s="12">
        <f>BH100+650</f>
        <v>24950</v>
      </c>
      <c r="BI101">
        <v>49</v>
      </c>
      <c r="BJ101" s="111">
        <v>40797</v>
      </c>
      <c r="BK101" s="2">
        <v>39678</v>
      </c>
      <c r="BN101" s="2">
        <v>40848</v>
      </c>
      <c r="BO101" s="111">
        <f t="shared" si="24"/>
        <v>40817.01</v>
      </c>
      <c r="BP101" s="111">
        <f t="shared" si="25"/>
        <v>0</v>
      </c>
      <c r="BQ101">
        <f>BILL!D26</f>
        <v>0</v>
      </c>
      <c r="BR101">
        <f t="shared" si="22"/>
        <v>40664.49999999999</v>
      </c>
      <c r="BS101">
        <f>BILL!Z26</f>
        <v>0</v>
      </c>
      <c r="BT101">
        <f>BILL!X26</f>
        <v>0</v>
      </c>
      <c r="BU101">
        <f>BILL!P26</f>
        <v>0</v>
      </c>
      <c r="BV101">
        <f>BILL!N26</f>
        <v>0</v>
      </c>
      <c r="BW101">
        <f>VLOOKUP(BN101,BR79:BV112,2,TRUE)</f>
        <v>0</v>
      </c>
      <c r="BX101">
        <f>VLOOKUP(BN101,BR79:BV112,3,TRUE)</f>
        <v>0</v>
      </c>
      <c r="BY101">
        <f>VLOOKUP(BN101,BR79:BV112,4,TRUE)</f>
        <v>0</v>
      </c>
      <c r="BZ101">
        <f>VLOOKUP(BN101,BR79:BV112,5,TRUE)</f>
        <v>0</v>
      </c>
    </row>
    <row r="102" spans="5:78" ht="12.75" hidden="1">
      <c r="E102" s="111">
        <f>VLOOKUP(F70,F82:J89,5,TRUE)</f>
        <v>1</v>
      </c>
      <c r="F102" s="111">
        <f>VLOOKUP(E102,D82:G89,3,TRUE)</f>
        <v>40210</v>
      </c>
      <c r="H102" s="101">
        <f>VLOOKUP(E102,D82:H89,4,TRUE)</f>
        <v>12190</v>
      </c>
      <c r="I102" s="101">
        <f>VLOOKUP(H102,Z53:AD136,5,TRUE)</f>
        <v>11860</v>
      </c>
      <c r="N102">
        <v>13271</v>
      </c>
      <c r="O102" s="616" t="e">
        <f>IF(H132=1,350,IF(H132=2,220,130))</f>
        <v>#REF!</v>
      </c>
      <c r="P102" s="616"/>
      <c r="Q102">
        <v>7770</v>
      </c>
      <c r="S102" s="15"/>
      <c r="T102" s="15"/>
      <c r="U102" s="15"/>
      <c r="V102" s="15"/>
      <c r="W102" s="15"/>
      <c r="X102" s="451"/>
      <c r="Y102" s="450">
        <v>50</v>
      </c>
      <c r="Z102" s="12">
        <f>Z101+650</f>
        <v>25600</v>
      </c>
      <c r="AA102" s="12">
        <f>AA101+700</f>
        <v>26300</v>
      </c>
      <c r="AB102" s="12">
        <v>27000</v>
      </c>
      <c r="AC102" s="126">
        <v>50</v>
      </c>
      <c r="AD102" s="12">
        <f>AD101+650</f>
        <v>24950</v>
      </c>
      <c r="AE102" s="15"/>
      <c r="AJ102">
        <v>1</v>
      </c>
      <c r="AK102">
        <v>2</v>
      </c>
      <c r="AL102">
        <v>3</v>
      </c>
      <c r="AM102">
        <v>4</v>
      </c>
      <c r="AN102">
        <v>5</v>
      </c>
      <c r="AO102">
        <v>6</v>
      </c>
      <c r="AP102">
        <v>7</v>
      </c>
      <c r="AQ102">
        <v>8</v>
      </c>
      <c r="BE102" s="12">
        <v>50</v>
      </c>
      <c r="BF102" s="12" t="s">
        <v>262</v>
      </c>
      <c r="BH102" s="12">
        <f>BH101+650</f>
        <v>25600</v>
      </c>
      <c r="BI102">
        <v>50</v>
      </c>
      <c r="BJ102" s="111">
        <v>40798</v>
      </c>
      <c r="BK102" s="2">
        <v>39679</v>
      </c>
      <c r="BN102" s="2">
        <v>40878</v>
      </c>
      <c r="BO102" s="111">
        <f t="shared" si="24"/>
        <v>40817.01</v>
      </c>
      <c r="BP102" s="111">
        <f t="shared" si="25"/>
        <v>0</v>
      </c>
      <c r="BQ102">
        <f>BILL!D27</f>
        <v>0</v>
      </c>
      <c r="BR102">
        <f t="shared" si="22"/>
        <v>40664.59999999999</v>
      </c>
      <c r="BS102">
        <f>BILL!Z27</f>
        <v>0</v>
      </c>
      <c r="BT102">
        <f>BILL!X27</f>
        <v>0</v>
      </c>
      <c r="BU102">
        <f>BILL!P27</f>
        <v>0</v>
      </c>
      <c r="BV102">
        <f>BILL!N27</f>
        <v>0</v>
      </c>
      <c r="BW102">
        <f>VLOOKUP(BN102,BR79:BV112,2,TRUE)</f>
        <v>0</v>
      </c>
      <c r="BX102">
        <f>VLOOKUP(BN102,BR79:BV112,3,TRUE)</f>
        <v>0</v>
      </c>
      <c r="BY102">
        <f>VLOOKUP(BN102,BR79:BV112,4,TRUE)</f>
        <v>0</v>
      </c>
      <c r="BZ102">
        <f>VLOOKUP(BN102,BR79:BV112,5,TRUE)</f>
        <v>0</v>
      </c>
    </row>
    <row r="103" spans="5:78" ht="12.75" hidden="1">
      <c r="E103" s="111">
        <f aca="true" t="shared" si="31" ref="E103:E108">E102+1</f>
        <v>2</v>
      </c>
      <c r="F103" s="111">
        <f>VLOOKUP(E103,D82:G89,3,TRUE)</f>
        <v>40452</v>
      </c>
      <c r="H103" s="101">
        <f>VLOOKUP(E103,D82:H89,4,TRUE)</f>
        <v>12550</v>
      </c>
      <c r="I103" s="101">
        <f aca="true" t="shared" si="32" ref="I103:I108">H102</f>
        <v>12190</v>
      </c>
      <c r="N103">
        <v>18031</v>
      </c>
      <c r="O103" s="616" t="e">
        <f>IF(H132=1,525,IF(H132=2,350,140))</f>
        <v>#REF!</v>
      </c>
      <c r="P103" s="616"/>
      <c r="Q103">
        <v>10565</v>
      </c>
      <c r="S103" s="15"/>
      <c r="T103" s="15"/>
      <c r="U103" s="15"/>
      <c r="V103" s="15"/>
      <c r="W103" s="15"/>
      <c r="X103" s="451"/>
      <c r="Y103" s="450">
        <v>51</v>
      </c>
      <c r="Z103" s="12">
        <f>Z102+700</f>
        <v>26300</v>
      </c>
      <c r="AA103" s="12">
        <f>AA102+700</f>
        <v>27000</v>
      </c>
      <c r="AB103" s="12">
        <v>27700</v>
      </c>
      <c r="AC103" s="126">
        <v>51</v>
      </c>
      <c r="AD103" s="12">
        <f>AD102+650</f>
        <v>25600</v>
      </c>
      <c r="AE103" s="15"/>
      <c r="AI103">
        <v>1</v>
      </c>
      <c r="AJ103" s="111">
        <f aca="true" t="shared" si="33" ref="AJ103:AQ103">MIN(AI90:AI97)</f>
        <v>40210</v>
      </c>
      <c r="AK103" s="111">
        <f t="shared" si="33"/>
        <v>40452</v>
      </c>
      <c r="AL103" s="111">
        <f t="shared" si="33"/>
        <v>40628.01</v>
      </c>
      <c r="AM103" s="111">
        <f t="shared" si="33"/>
        <v>40817</v>
      </c>
      <c r="AN103" s="111">
        <f t="shared" si="33"/>
        <v>41183</v>
      </c>
      <c r="AO103" s="111">
        <f t="shared" si="33"/>
        <v>0</v>
      </c>
      <c r="AP103" s="111">
        <f t="shared" si="33"/>
        <v>0</v>
      </c>
      <c r="AQ103" s="111">
        <f t="shared" si="33"/>
        <v>0</v>
      </c>
      <c r="BE103" s="12">
        <v>51</v>
      </c>
      <c r="BF103" s="12" t="s">
        <v>263</v>
      </c>
      <c r="BH103" s="12">
        <f>BH102+700</f>
        <v>26300</v>
      </c>
      <c r="BI103">
        <v>51</v>
      </c>
      <c r="BJ103" s="111">
        <v>40799</v>
      </c>
      <c r="BK103" s="2">
        <v>39680</v>
      </c>
      <c r="BN103" s="2">
        <v>40909</v>
      </c>
      <c r="BO103" s="111">
        <f t="shared" si="24"/>
        <v>40817.01</v>
      </c>
      <c r="BP103" s="111">
        <f t="shared" si="25"/>
        <v>0</v>
      </c>
      <c r="BQ103">
        <f>BILL!D28</f>
        <v>0</v>
      </c>
      <c r="BR103">
        <f t="shared" si="22"/>
        <v>40664.69999999999</v>
      </c>
      <c r="BS103">
        <f>BILL!Z28</f>
        <v>0</v>
      </c>
      <c r="BT103">
        <f>BILL!X28</f>
        <v>0</v>
      </c>
      <c r="BU103">
        <f>BILL!P28</f>
        <v>0</v>
      </c>
      <c r="BV103">
        <f>BILL!N28</f>
        <v>0</v>
      </c>
      <c r="BW103">
        <f>VLOOKUP(BN103,BR79:BV112,2,TRUE)</f>
        <v>0</v>
      </c>
      <c r="BX103">
        <f>VLOOKUP(BN103,BR79:BV112,3,TRUE)</f>
        <v>0</v>
      </c>
      <c r="BY103">
        <f>VLOOKUP(BN103,BR79:BV112,4,TRUE)</f>
        <v>0</v>
      </c>
      <c r="BZ103">
        <f>VLOOKUP(BN103,BR79:BV112,5,TRUE)</f>
        <v>0</v>
      </c>
    </row>
    <row r="104" spans="5:78" ht="12.75" hidden="1">
      <c r="E104" s="111">
        <f t="shared" si="31"/>
        <v>3</v>
      </c>
      <c r="F104" s="111">
        <f>VLOOKUP(E104,D82:G89,3,TRUE)</f>
        <v>40628.01</v>
      </c>
      <c r="H104" s="101">
        <f>VLOOKUP(E104,D82:H89,4,TRUE)</f>
        <v>12910</v>
      </c>
      <c r="I104" s="101">
        <f t="shared" si="32"/>
        <v>12550</v>
      </c>
      <c r="S104" s="15"/>
      <c r="T104" s="15"/>
      <c r="U104" s="15"/>
      <c r="V104" s="15"/>
      <c r="W104" s="15"/>
      <c r="X104" s="451"/>
      <c r="Y104" s="450">
        <v>52</v>
      </c>
      <c r="Z104" s="12">
        <f>Z103+700</f>
        <v>27000</v>
      </c>
      <c r="AA104" s="12">
        <f>AA103+700</f>
        <v>27700</v>
      </c>
      <c r="AB104" s="12">
        <v>28450</v>
      </c>
      <c r="AC104" s="126">
        <v>52</v>
      </c>
      <c r="AD104" s="12">
        <f>AD103+700</f>
        <v>26300</v>
      </c>
      <c r="AE104" s="15"/>
      <c r="AI104">
        <v>2</v>
      </c>
      <c r="AJ104" s="111">
        <f>AJ103</f>
        <v>40210</v>
      </c>
      <c r="AK104" s="111">
        <f>AK103</f>
        <v>40452</v>
      </c>
      <c r="AL104" s="111">
        <f>AL103</f>
        <v>40628.01</v>
      </c>
      <c r="AM104" s="111">
        <f>AM103</f>
        <v>40817</v>
      </c>
      <c r="AN104" s="111">
        <f aca="true" t="shared" si="34" ref="AN104:AQ112">AN103</f>
        <v>41183</v>
      </c>
      <c r="AO104" s="111">
        <f t="shared" si="34"/>
        <v>0</v>
      </c>
      <c r="AP104" s="111">
        <f t="shared" si="34"/>
        <v>0</v>
      </c>
      <c r="AQ104" s="111">
        <f t="shared" si="34"/>
        <v>0</v>
      </c>
      <c r="BE104" s="12">
        <v>52</v>
      </c>
      <c r="BF104" s="12" t="s">
        <v>264</v>
      </c>
      <c r="BH104" s="12">
        <f>BH103+700</f>
        <v>27000</v>
      </c>
      <c r="BI104">
        <v>52</v>
      </c>
      <c r="BJ104" s="111">
        <v>40800</v>
      </c>
      <c r="BK104" s="2">
        <v>39681</v>
      </c>
      <c r="BN104" s="2">
        <v>40940</v>
      </c>
      <c r="BO104" s="111">
        <f t="shared" si="24"/>
        <v>40817.01</v>
      </c>
      <c r="BP104" s="111">
        <f t="shared" si="25"/>
        <v>0</v>
      </c>
      <c r="BQ104">
        <v>0</v>
      </c>
      <c r="BR104">
        <f t="shared" si="22"/>
        <v>40664.79999999999</v>
      </c>
      <c r="BS104">
        <f>BILL!Z29</f>
        <v>0</v>
      </c>
      <c r="BT104">
        <f>BILL!X29</f>
        <v>0</v>
      </c>
      <c r="BU104">
        <f>BILL!P29</f>
        <v>0</v>
      </c>
      <c r="BV104">
        <f>BILL!N29</f>
        <v>0</v>
      </c>
      <c r="BW104">
        <f>VLOOKUP(BN104,BR79:BV112,2,TRUE)</f>
        <v>0</v>
      </c>
      <c r="BX104">
        <f>VLOOKUP(BN104,BR79:BV112,3,TRUE)</f>
        <v>0</v>
      </c>
      <c r="BY104">
        <f>VLOOKUP(BN104,BR79:BV112,4,TRUE)</f>
        <v>0</v>
      </c>
      <c r="BZ104">
        <f>VLOOKUP(BN104,BR79:BV112,5,TRUE)</f>
        <v>0</v>
      </c>
    </row>
    <row r="105" spans="5:78" ht="12.75" hidden="1">
      <c r="E105" s="111">
        <f t="shared" si="31"/>
        <v>4</v>
      </c>
      <c r="F105" s="111">
        <f>VLOOKUP(E105,D82:G89,3,TRUE)</f>
        <v>40817</v>
      </c>
      <c r="H105" s="101">
        <f>VLOOKUP(E105,D82:H89,4,TRUE)</f>
        <v>13660</v>
      </c>
      <c r="I105" s="101">
        <f t="shared" si="32"/>
        <v>12910</v>
      </c>
      <c r="S105" s="15"/>
      <c r="T105" s="15"/>
      <c r="U105" s="15"/>
      <c r="V105" s="15"/>
      <c r="W105" s="15"/>
      <c r="X105" s="451"/>
      <c r="Y105" s="450">
        <v>53</v>
      </c>
      <c r="Z105" s="12">
        <f>Z104+700</f>
        <v>27700</v>
      </c>
      <c r="AA105" s="12">
        <f>AA104+750</f>
        <v>28450</v>
      </c>
      <c r="AB105" s="12">
        <v>29200</v>
      </c>
      <c r="AC105" s="126">
        <v>53</v>
      </c>
      <c r="AD105" s="12">
        <f>AD104+700</f>
        <v>27000</v>
      </c>
      <c r="AE105" s="15"/>
      <c r="AI105">
        <v>3</v>
      </c>
      <c r="AJ105" s="111">
        <f aca="true" t="shared" si="35" ref="AJ105:AJ112">AJ104</f>
        <v>40210</v>
      </c>
      <c r="AK105" s="111">
        <f aca="true" t="shared" si="36" ref="AK105:AK112">AK104</f>
        <v>40452</v>
      </c>
      <c r="AL105" s="111">
        <f aca="true" t="shared" si="37" ref="AL105:AL112">AL104</f>
        <v>40628.01</v>
      </c>
      <c r="AM105" s="111">
        <f aca="true" t="shared" si="38" ref="AM105:AM112">AM104</f>
        <v>40817</v>
      </c>
      <c r="AN105" s="111">
        <f t="shared" si="34"/>
        <v>41183</v>
      </c>
      <c r="AO105" s="111">
        <f t="shared" si="34"/>
        <v>0</v>
      </c>
      <c r="AP105" s="111">
        <f t="shared" si="34"/>
        <v>0</v>
      </c>
      <c r="AQ105" s="111">
        <f t="shared" si="34"/>
        <v>0</v>
      </c>
      <c r="BE105" s="12">
        <v>53</v>
      </c>
      <c r="BF105" s="12" t="s">
        <v>265</v>
      </c>
      <c r="BH105" s="12">
        <f>BH104+700</f>
        <v>27700</v>
      </c>
      <c r="BI105">
        <v>53</v>
      </c>
      <c r="BJ105" s="111">
        <v>40801</v>
      </c>
      <c r="BK105" s="2">
        <v>39682</v>
      </c>
      <c r="BN105" s="2">
        <v>40969</v>
      </c>
      <c r="BO105" s="111">
        <f t="shared" si="24"/>
        <v>40817.01</v>
      </c>
      <c r="BP105" s="111">
        <f t="shared" si="25"/>
        <v>0</v>
      </c>
      <c r="BQ105">
        <f>BILL!D30</f>
        <v>40695</v>
      </c>
      <c r="BR105">
        <f t="shared" si="22"/>
        <v>40695</v>
      </c>
      <c r="BS105">
        <f>BILL!Z30</f>
        <v>18327</v>
      </c>
      <c r="BT105">
        <f>BILL!X30</f>
        <v>150</v>
      </c>
      <c r="BU105">
        <f>BILL!P30</f>
        <v>18327</v>
      </c>
      <c r="BV105">
        <f>BILL!N30</f>
        <v>150</v>
      </c>
      <c r="BW105">
        <f>VLOOKUP(BN105,BR79:BV112,2,TRUE)</f>
        <v>0</v>
      </c>
      <c r="BX105">
        <f>VLOOKUP(BN105,BR79:BV112,3,TRUE)</f>
        <v>0</v>
      </c>
      <c r="BY105">
        <f>VLOOKUP(BN105,BR79:BV112,4,TRUE)</f>
        <v>0</v>
      </c>
      <c r="BZ105">
        <f>VLOOKUP(BN105,BR79:BV112,5,TRUE)</f>
        <v>0</v>
      </c>
    </row>
    <row r="106" spans="5:78" ht="12.75" hidden="1">
      <c r="E106" s="111">
        <f t="shared" si="31"/>
        <v>5</v>
      </c>
      <c r="F106" s="111">
        <f>VLOOKUP(E106,D82:G89,3,TRUE)</f>
        <v>41183</v>
      </c>
      <c r="H106" s="101">
        <f>VLOOKUP(E106,D82:H89,4,TRUE)</f>
        <v>14050</v>
      </c>
      <c r="I106" s="101">
        <f t="shared" si="32"/>
        <v>13660</v>
      </c>
      <c r="S106" s="15"/>
      <c r="T106" s="15"/>
      <c r="U106" s="15"/>
      <c r="V106" s="15"/>
      <c r="W106" s="15"/>
      <c r="X106" s="451"/>
      <c r="Y106" s="450">
        <v>54</v>
      </c>
      <c r="Z106" s="12">
        <f>Z105+750</f>
        <v>28450</v>
      </c>
      <c r="AA106" s="12">
        <f>AA105+750</f>
        <v>29200</v>
      </c>
      <c r="AB106" s="12">
        <v>29950</v>
      </c>
      <c r="AC106" s="126">
        <v>54</v>
      </c>
      <c r="AD106" s="12">
        <f>AD105+700</f>
        <v>27700</v>
      </c>
      <c r="AE106" s="15"/>
      <c r="AI106">
        <v>4</v>
      </c>
      <c r="AJ106" s="111">
        <f t="shared" si="35"/>
        <v>40210</v>
      </c>
      <c r="AK106" s="111">
        <f t="shared" si="36"/>
        <v>40452</v>
      </c>
      <c r="AL106" s="111">
        <f t="shared" si="37"/>
        <v>40628.01</v>
      </c>
      <c r="AM106" s="111">
        <f t="shared" si="38"/>
        <v>40817</v>
      </c>
      <c r="AN106" s="111">
        <f t="shared" si="34"/>
        <v>41183</v>
      </c>
      <c r="AO106" s="111">
        <f t="shared" si="34"/>
        <v>0</v>
      </c>
      <c r="AP106" s="111">
        <f t="shared" si="34"/>
        <v>0</v>
      </c>
      <c r="AQ106" s="111">
        <f t="shared" si="34"/>
        <v>0</v>
      </c>
      <c r="BE106" s="12">
        <v>54</v>
      </c>
      <c r="BF106" s="12" t="s">
        <v>266</v>
      </c>
      <c r="BH106" s="12">
        <f>BH105+750</f>
        <v>28450</v>
      </c>
      <c r="BI106">
        <v>54</v>
      </c>
      <c r="BJ106" s="111">
        <v>40802</v>
      </c>
      <c r="BK106" s="2">
        <v>39683</v>
      </c>
      <c r="BN106" s="2">
        <v>41000</v>
      </c>
      <c r="BO106" s="111">
        <f t="shared" si="24"/>
        <v>40817.01</v>
      </c>
      <c r="BP106" s="111">
        <f t="shared" si="25"/>
        <v>0</v>
      </c>
      <c r="BQ106">
        <f>BILL!D31</f>
        <v>40725</v>
      </c>
      <c r="BR106">
        <f t="shared" si="22"/>
        <v>40725</v>
      </c>
      <c r="BS106">
        <f>BILL!Z31</f>
        <v>18327</v>
      </c>
      <c r="BT106">
        <f>BILL!X31</f>
        <v>150</v>
      </c>
      <c r="BU106">
        <f>BILL!P31</f>
        <v>18327</v>
      </c>
      <c r="BV106">
        <f>BILL!N31</f>
        <v>150</v>
      </c>
      <c r="BW106">
        <f>VLOOKUP(BN106,BR79:BV112,2,TRUE)</f>
        <v>0</v>
      </c>
      <c r="BX106">
        <f>VLOOKUP(BN106,BR79:BV112,3,TRUE)</f>
        <v>0</v>
      </c>
      <c r="BY106">
        <f>VLOOKUP(BN106,BR79:BV112,4,TRUE)</f>
        <v>0</v>
      </c>
      <c r="BZ106">
        <f>VLOOKUP(BN106,BR79:BV112,5,TRUE)</f>
        <v>0</v>
      </c>
    </row>
    <row r="107" spans="5:78" ht="14.25" hidden="1">
      <c r="E107" s="111">
        <f t="shared" si="31"/>
        <v>6</v>
      </c>
      <c r="F107" s="111">
        <f>VLOOKUP(E107,D82:G89,3,TRUE)</f>
        <v>41183.05</v>
      </c>
      <c r="H107" s="101">
        <f>VLOOKUP(E107,D82:H89,4,TRUE)</f>
        <v>14440</v>
      </c>
      <c r="I107" s="101">
        <f t="shared" si="32"/>
        <v>14050</v>
      </c>
      <c r="N107" t="s">
        <v>475</v>
      </c>
      <c r="O107" t="s">
        <v>477</v>
      </c>
      <c r="P107" s="384" t="s">
        <v>480</v>
      </c>
      <c r="R107" t="s">
        <v>671</v>
      </c>
      <c r="S107" s="15"/>
      <c r="T107" s="15"/>
      <c r="U107" s="15"/>
      <c r="V107" s="15"/>
      <c r="W107" s="15"/>
      <c r="X107" s="451"/>
      <c r="Y107" s="450">
        <v>55</v>
      </c>
      <c r="Z107" s="12">
        <f>Z106+750</f>
        <v>29200</v>
      </c>
      <c r="AA107" s="12">
        <f>AA106+750</f>
        <v>29950</v>
      </c>
      <c r="AB107" s="12">
        <v>30750</v>
      </c>
      <c r="AC107" s="126">
        <v>55</v>
      </c>
      <c r="AD107" s="12">
        <f>AD106+750</f>
        <v>28450</v>
      </c>
      <c r="AE107" s="15"/>
      <c r="AI107">
        <v>5</v>
      </c>
      <c r="AJ107" s="111">
        <f t="shared" si="35"/>
        <v>40210</v>
      </c>
      <c r="AK107" s="111">
        <f t="shared" si="36"/>
        <v>40452</v>
      </c>
      <c r="AL107" s="111">
        <f t="shared" si="37"/>
        <v>40628.01</v>
      </c>
      <c r="AM107" s="111">
        <f t="shared" si="38"/>
        <v>40817</v>
      </c>
      <c r="AN107" s="111">
        <f t="shared" si="34"/>
        <v>41183</v>
      </c>
      <c r="AO107" s="111">
        <f t="shared" si="34"/>
        <v>0</v>
      </c>
      <c r="AP107" s="111">
        <f t="shared" si="34"/>
        <v>0</v>
      </c>
      <c r="AQ107" s="111">
        <f t="shared" si="34"/>
        <v>0</v>
      </c>
      <c r="BE107" s="12">
        <v>55</v>
      </c>
      <c r="BF107" s="12" t="s">
        <v>267</v>
      </c>
      <c r="BH107" s="12">
        <f>BH106+750</f>
        <v>29200</v>
      </c>
      <c r="BI107">
        <v>55</v>
      </c>
      <c r="BJ107" s="111">
        <v>40803</v>
      </c>
      <c r="BK107" s="2">
        <v>39684</v>
      </c>
      <c r="BN107" s="2">
        <v>41001</v>
      </c>
      <c r="BO107" s="111">
        <f aca="true" t="shared" si="39" ref="BO107:BO112">BO106</f>
        <v>40817.01</v>
      </c>
      <c r="BP107" s="111">
        <f aca="true" t="shared" si="40" ref="BP107:BP112">IF(BN107&lt;BO107,BN107,0)</f>
        <v>0</v>
      </c>
      <c r="BQ107">
        <f>BILL!D32</f>
        <v>40756</v>
      </c>
      <c r="BR107">
        <f t="shared" si="22"/>
        <v>40756</v>
      </c>
      <c r="BS107">
        <f>BILL!Z32</f>
        <v>18327</v>
      </c>
      <c r="BT107">
        <f>BILL!X32</f>
        <v>150</v>
      </c>
      <c r="BU107">
        <f>BILL!P32</f>
        <v>18327</v>
      </c>
      <c r="BV107">
        <f>BILL!N32</f>
        <v>150</v>
      </c>
      <c r="BW107">
        <f>VLOOKUP(BN107,BR79:BV112,2,TRUE)</f>
        <v>0</v>
      </c>
      <c r="BX107">
        <f>VLOOKUP(BN107,BR79:BV112,3,TRUE)</f>
        <v>0</v>
      </c>
      <c r="BY107">
        <f>VLOOKUP(BN107,BR79:BV112,4,TRUE)</f>
        <v>0</v>
      </c>
      <c r="BZ107">
        <f>VLOOKUP(BN107,BR79:BV112,5,TRUE)</f>
        <v>0</v>
      </c>
    </row>
    <row r="108" spans="5:78" ht="12.75" hidden="1">
      <c r="E108" s="111">
        <f t="shared" si="31"/>
        <v>7</v>
      </c>
      <c r="F108" s="111">
        <f>VLOOKUP(E108,D82:G89,3,TRUE)</f>
        <v>41183.06</v>
      </c>
      <c r="H108" s="101">
        <f>VLOOKUP(E108,D82:H89,4,TRUE)</f>
        <v>14860</v>
      </c>
      <c r="I108" s="101">
        <f t="shared" si="32"/>
        <v>14440</v>
      </c>
      <c r="N108" t="s">
        <v>196</v>
      </c>
      <c r="O108" t="s">
        <v>478</v>
      </c>
      <c r="P108" s="318" t="s">
        <v>481</v>
      </c>
      <c r="R108" t="s">
        <v>672</v>
      </c>
      <c r="S108" s="15"/>
      <c r="T108" s="15"/>
      <c r="U108" s="15"/>
      <c r="V108" s="15"/>
      <c r="W108" s="15"/>
      <c r="X108" s="451"/>
      <c r="Y108" s="450">
        <v>56</v>
      </c>
      <c r="Z108" s="12">
        <f>Z107+750</f>
        <v>29950</v>
      </c>
      <c r="AA108" s="12">
        <f>AA107+800</f>
        <v>30750</v>
      </c>
      <c r="AB108" s="12">
        <v>31550</v>
      </c>
      <c r="AC108" s="126">
        <v>56</v>
      </c>
      <c r="AD108" s="12">
        <f>AD107+750</f>
        <v>29200</v>
      </c>
      <c r="AE108" s="15"/>
      <c r="AI108">
        <v>6</v>
      </c>
      <c r="AJ108" s="111">
        <f t="shared" si="35"/>
        <v>40210</v>
      </c>
      <c r="AK108" s="111">
        <f t="shared" si="36"/>
        <v>40452</v>
      </c>
      <c r="AL108" s="111">
        <f t="shared" si="37"/>
        <v>40628.01</v>
      </c>
      <c r="AM108" s="111">
        <f t="shared" si="38"/>
        <v>40817</v>
      </c>
      <c r="AN108" s="111">
        <f t="shared" si="34"/>
        <v>41183</v>
      </c>
      <c r="AO108" s="111">
        <f t="shared" si="34"/>
        <v>0</v>
      </c>
      <c r="AP108" s="111">
        <f t="shared" si="34"/>
        <v>0</v>
      </c>
      <c r="AQ108" s="111">
        <f t="shared" si="34"/>
        <v>0</v>
      </c>
      <c r="BE108" s="12">
        <v>56</v>
      </c>
      <c r="BF108" s="12" t="s">
        <v>268</v>
      </c>
      <c r="BH108" s="12">
        <f>BH107+750</f>
        <v>29950</v>
      </c>
      <c r="BI108">
        <v>56</v>
      </c>
      <c r="BJ108" s="111">
        <v>40804</v>
      </c>
      <c r="BK108" s="2">
        <v>39685</v>
      </c>
      <c r="BN108" s="2">
        <v>41002</v>
      </c>
      <c r="BO108" s="111">
        <f t="shared" si="39"/>
        <v>40817.01</v>
      </c>
      <c r="BP108" s="111">
        <f t="shared" si="40"/>
        <v>0</v>
      </c>
      <c r="BQ108">
        <f>BILL!D33</f>
        <v>40787</v>
      </c>
      <c r="BR108">
        <f t="shared" si="22"/>
        <v>40787</v>
      </c>
      <c r="BS108">
        <f>BILL!Z33</f>
        <v>18327</v>
      </c>
      <c r="BT108">
        <f>BILL!X33</f>
        <v>150</v>
      </c>
      <c r="BU108">
        <f>BILL!P33</f>
        <v>18327</v>
      </c>
      <c r="BV108">
        <f>BILL!N33</f>
        <v>150</v>
      </c>
      <c r="BW108">
        <f>VLOOKUP(BN108,BR79:BV112,2,TRUE)</f>
        <v>0</v>
      </c>
      <c r="BX108">
        <f>VLOOKUP(BN108,BR79:BV112,3,TRUE)</f>
        <v>0</v>
      </c>
      <c r="BY108">
        <f>VLOOKUP(BN108,BR79:BV112,4,TRUE)</f>
        <v>0</v>
      </c>
      <c r="BZ108">
        <f>VLOOKUP(BN108,BR79:BV112,5,TRUE)</f>
        <v>0</v>
      </c>
    </row>
    <row r="109" spans="6:78" ht="12.75" hidden="1">
      <c r="F109" s="111">
        <f>F102</f>
        <v>40210</v>
      </c>
      <c r="H109" s="101">
        <f>IF(F109&lt;&gt;0,H102,0)</f>
        <v>12190</v>
      </c>
      <c r="I109" s="101">
        <f>IF(F109&lt;&gt;0,I102,0)</f>
        <v>11860</v>
      </c>
      <c r="J109" t="str">
        <f>G98</f>
        <v>14860-39540</v>
      </c>
      <c r="K109" t="str">
        <f>J109</f>
        <v>14860-39540</v>
      </c>
      <c r="L109" t="str">
        <f>IF(O114=E43,J109,K109)</f>
        <v>14860-39540</v>
      </c>
      <c r="N109" t="s">
        <v>525</v>
      </c>
      <c r="Q109" t="s">
        <v>482</v>
      </c>
      <c r="R109" t="str">
        <f>IF(E43=O113,R107,R108)</f>
        <v>FR.22B ON</v>
      </c>
      <c r="S109" s="15"/>
      <c r="T109" s="15"/>
      <c r="U109" s="15"/>
      <c r="V109" s="15"/>
      <c r="W109" s="15"/>
      <c r="X109" s="451"/>
      <c r="Y109" s="450">
        <v>57</v>
      </c>
      <c r="Z109" s="12">
        <f>Z108+800</f>
        <v>30750</v>
      </c>
      <c r="AA109" s="12">
        <f>AA108+800</f>
        <v>31550</v>
      </c>
      <c r="AB109" s="12">
        <v>32350</v>
      </c>
      <c r="AC109" s="126">
        <v>57</v>
      </c>
      <c r="AD109" s="12">
        <f>AD108+750</f>
        <v>29950</v>
      </c>
      <c r="AE109" s="15"/>
      <c r="AI109">
        <v>7</v>
      </c>
      <c r="AJ109" s="111">
        <f t="shared" si="35"/>
        <v>40210</v>
      </c>
      <c r="AK109" s="111">
        <f t="shared" si="36"/>
        <v>40452</v>
      </c>
      <c r="AL109" s="111">
        <f t="shared" si="37"/>
        <v>40628.01</v>
      </c>
      <c r="AM109" s="111">
        <f t="shared" si="38"/>
        <v>40817</v>
      </c>
      <c r="AN109" s="111">
        <f t="shared" si="34"/>
        <v>41183</v>
      </c>
      <c r="AO109" s="111">
        <f t="shared" si="34"/>
        <v>0</v>
      </c>
      <c r="AP109" s="111">
        <f t="shared" si="34"/>
        <v>0</v>
      </c>
      <c r="AQ109" s="111">
        <f t="shared" si="34"/>
        <v>0</v>
      </c>
      <c r="BE109" s="12">
        <v>57</v>
      </c>
      <c r="BF109" s="12" t="s">
        <v>269</v>
      </c>
      <c r="BH109" s="12">
        <f>BH108+800</f>
        <v>30750</v>
      </c>
      <c r="BI109">
        <v>57</v>
      </c>
      <c r="BJ109" s="111">
        <v>40805</v>
      </c>
      <c r="BK109" s="2">
        <v>39686</v>
      </c>
      <c r="BN109" s="2">
        <v>41003</v>
      </c>
      <c r="BO109" s="111">
        <f t="shared" si="39"/>
        <v>40817.01</v>
      </c>
      <c r="BP109" s="111">
        <f t="shared" si="40"/>
        <v>0</v>
      </c>
      <c r="BQ109">
        <f>BILL!D34</f>
        <v>40817</v>
      </c>
      <c r="BR109">
        <f t="shared" si="22"/>
        <v>40817</v>
      </c>
      <c r="BS109">
        <f>BILL!Z34</f>
        <v>626</v>
      </c>
      <c r="BT109">
        <f>BILL!X34</f>
        <v>60</v>
      </c>
      <c r="BU109">
        <f>BILL!P34</f>
        <v>626</v>
      </c>
      <c r="BV109">
        <f>BILL!N34</f>
        <v>60</v>
      </c>
      <c r="BW109">
        <f>VLOOKUP(BN109,BR79:BV112,2,TRUE)</f>
        <v>0</v>
      </c>
      <c r="BX109">
        <f>VLOOKUP(BN109,BR79:BV112,3,TRUE)</f>
        <v>0</v>
      </c>
      <c r="BY109">
        <f>VLOOKUP(BN109,BR79:BV112,4,TRUE)</f>
        <v>0</v>
      </c>
      <c r="BZ109">
        <f>VLOOKUP(BN109,BR79:BV112,5,TRUE)</f>
        <v>0</v>
      </c>
    </row>
    <row r="110" spans="6:78" ht="12.75" hidden="1">
      <c r="F110" s="111">
        <f>IF(OR(F102=F103,F103&gt;E136),0,F103)</f>
        <v>40452</v>
      </c>
      <c r="H110" s="101">
        <f aca="true" t="shared" si="41" ref="H110:H115">IF(F110&lt;&gt;0,H103,0)</f>
        <v>12550</v>
      </c>
      <c r="I110" s="101">
        <f aca="true" t="shared" si="42" ref="I110:I115">IF(F110&lt;&gt;0,I103,0)</f>
        <v>12190</v>
      </c>
      <c r="J110" t="str">
        <f>IF(F110=E139,O79,J109)</f>
        <v>14860-39540</v>
      </c>
      <c r="K110" t="str">
        <f>IF(F109=E139,O79,J109)</f>
        <v>14860-39540</v>
      </c>
      <c r="L110" t="str">
        <f>IF(O114=E43,J110,K110)</f>
        <v>14860-39540</v>
      </c>
      <c r="N110" t="s">
        <v>526</v>
      </c>
      <c r="Q110" t="s">
        <v>493</v>
      </c>
      <c r="S110" s="15"/>
      <c r="T110" s="15"/>
      <c r="U110" s="15"/>
      <c r="V110" s="15"/>
      <c r="W110" s="15"/>
      <c r="X110" s="451"/>
      <c r="Y110" s="450">
        <v>58</v>
      </c>
      <c r="Z110" s="12">
        <f>Z109+800</f>
        <v>31550</v>
      </c>
      <c r="AA110" s="12">
        <f>AA109+800</f>
        <v>32350</v>
      </c>
      <c r="AB110" s="12">
        <v>33200</v>
      </c>
      <c r="AC110" s="126">
        <v>58</v>
      </c>
      <c r="AD110" s="12">
        <f>AD109+800</f>
        <v>30750</v>
      </c>
      <c r="AE110" s="15"/>
      <c r="AI110">
        <v>8</v>
      </c>
      <c r="AJ110" s="111">
        <f t="shared" si="35"/>
        <v>40210</v>
      </c>
      <c r="AK110" s="111">
        <f t="shared" si="36"/>
        <v>40452</v>
      </c>
      <c r="AL110" s="111">
        <f t="shared" si="37"/>
        <v>40628.01</v>
      </c>
      <c r="AM110" s="111">
        <f t="shared" si="38"/>
        <v>40817</v>
      </c>
      <c r="AN110" s="111">
        <f t="shared" si="34"/>
        <v>41183</v>
      </c>
      <c r="AO110" s="111">
        <f t="shared" si="34"/>
        <v>0</v>
      </c>
      <c r="AP110" s="111">
        <f t="shared" si="34"/>
        <v>0</v>
      </c>
      <c r="AQ110" s="111">
        <f t="shared" si="34"/>
        <v>0</v>
      </c>
      <c r="BE110" s="12">
        <v>58</v>
      </c>
      <c r="BF110" s="12" t="s">
        <v>270</v>
      </c>
      <c r="BH110" s="12">
        <f>BH109+800</f>
        <v>31550</v>
      </c>
      <c r="BI110">
        <v>58</v>
      </c>
      <c r="BJ110" s="111">
        <v>40806</v>
      </c>
      <c r="BK110" s="2">
        <v>39687</v>
      </c>
      <c r="BN110" s="2">
        <v>41004</v>
      </c>
      <c r="BO110" s="111">
        <f t="shared" si="39"/>
        <v>40817.01</v>
      </c>
      <c r="BP110" s="111">
        <f t="shared" si="40"/>
        <v>0</v>
      </c>
      <c r="BQ110">
        <f>BILL!D35</f>
        <v>0</v>
      </c>
      <c r="BR110">
        <f t="shared" si="22"/>
        <v>40817.1</v>
      </c>
      <c r="BS110">
        <f>BILL!Z35</f>
        <v>0</v>
      </c>
      <c r="BT110">
        <f>BILL!X35</f>
        <v>0</v>
      </c>
      <c r="BU110">
        <f>BILL!P35</f>
        <v>0</v>
      </c>
      <c r="BV110">
        <f>BILL!N35</f>
        <v>0</v>
      </c>
      <c r="BW110">
        <f>VLOOKUP(BN110,BR79:BV112,2,TRUE)</f>
        <v>0</v>
      </c>
      <c r="BX110">
        <f>VLOOKUP(BN110,BR79:BV112,3,TRUE)</f>
        <v>0</v>
      </c>
      <c r="BY110">
        <f>VLOOKUP(BN110,BR79:BV112,4,TRUE)</f>
        <v>0</v>
      </c>
      <c r="BZ110">
        <f>VLOOKUP(BN110,BR79:BV112,5,TRUE)</f>
        <v>0</v>
      </c>
    </row>
    <row r="111" spans="6:78" ht="12.75" hidden="1">
      <c r="F111" s="111">
        <f>IF(OR(F103=F104,F104&gt;E136),0,F104)</f>
        <v>40628.01</v>
      </c>
      <c r="H111" s="101">
        <f t="shared" si="41"/>
        <v>12910</v>
      </c>
      <c r="I111" s="101">
        <f t="shared" si="42"/>
        <v>12550</v>
      </c>
      <c r="J111" t="str">
        <f>IF(F111=E139,O79,J110)</f>
        <v>18030-43630</v>
      </c>
      <c r="K111" t="str">
        <f>IF(F110=E139,O79,J110)</f>
        <v>14860-39540</v>
      </c>
      <c r="L111" t="str">
        <f>IF(O114=E43,J111,K111)</f>
        <v>14860-39540</v>
      </c>
      <c r="N111" t="s">
        <v>527</v>
      </c>
      <c r="Q111" t="s">
        <v>483</v>
      </c>
      <c r="S111" s="15"/>
      <c r="T111" s="15"/>
      <c r="U111" s="15"/>
      <c r="V111" s="15"/>
      <c r="W111" s="15"/>
      <c r="X111" s="451"/>
      <c r="Y111" s="450">
        <v>59</v>
      </c>
      <c r="Z111" s="12">
        <f>Z110+800</f>
        <v>32350</v>
      </c>
      <c r="AA111" s="12">
        <f>AA110+850</f>
        <v>33200</v>
      </c>
      <c r="AB111" s="12">
        <v>34050</v>
      </c>
      <c r="AC111" s="126">
        <v>59</v>
      </c>
      <c r="AD111" s="12">
        <f>AD110+800</f>
        <v>31550</v>
      </c>
      <c r="AE111" s="15"/>
      <c r="AI111">
        <v>9</v>
      </c>
      <c r="AJ111" s="111">
        <f t="shared" si="35"/>
        <v>40210</v>
      </c>
      <c r="AK111" s="111">
        <f t="shared" si="36"/>
        <v>40452</v>
      </c>
      <c r="AL111" s="111">
        <f t="shared" si="37"/>
        <v>40628.01</v>
      </c>
      <c r="AM111" s="111">
        <f t="shared" si="38"/>
        <v>40817</v>
      </c>
      <c r="AN111" s="111">
        <f t="shared" si="34"/>
        <v>41183</v>
      </c>
      <c r="AO111" s="111">
        <f t="shared" si="34"/>
        <v>0</v>
      </c>
      <c r="AP111" s="111">
        <f t="shared" si="34"/>
        <v>0</v>
      </c>
      <c r="AQ111" s="111">
        <f t="shared" si="34"/>
        <v>0</v>
      </c>
      <c r="BE111" s="12">
        <v>59</v>
      </c>
      <c r="BF111" s="12" t="s">
        <v>271</v>
      </c>
      <c r="BH111" s="12">
        <f>BH110+800</f>
        <v>32350</v>
      </c>
      <c r="BI111">
        <v>59</v>
      </c>
      <c r="BJ111" s="111">
        <v>40807</v>
      </c>
      <c r="BK111" s="2">
        <v>39688</v>
      </c>
      <c r="BN111" s="2">
        <v>41005</v>
      </c>
      <c r="BO111" s="111">
        <f t="shared" si="39"/>
        <v>40817.01</v>
      </c>
      <c r="BP111" s="111">
        <f t="shared" si="40"/>
        <v>0</v>
      </c>
      <c r="BQ111">
        <f>BILL!D36</f>
        <v>0</v>
      </c>
      <c r="BR111">
        <f t="shared" si="22"/>
        <v>40817.2</v>
      </c>
      <c r="BS111">
        <f>BILL!Z36</f>
        <v>0</v>
      </c>
      <c r="BT111">
        <f>BILL!X36</f>
        <v>0</v>
      </c>
      <c r="BU111">
        <f>BILL!P36</f>
        <v>0</v>
      </c>
      <c r="BV111">
        <f>BILL!N36</f>
        <v>0</v>
      </c>
      <c r="BW111">
        <f>VLOOKUP(BN111,BR79:BV112,2,TRUE)</f>
        <v>0</v>
      </c>
      <c r="BX111">
        <f>VLOOKUP(BN111,BR79:BV112,3,TRUE)</f>
        <v>0</v>
      </c>
      <c r="BY111">
        <f>VLOOKUP(BN111,BR79:BV112,4,TRUE)</f>
        <v>0</v>
      </c>
      <c r="BZ111">
        <f>VLOOKUP(BN111,BR79:BV112,5,TRUE)</f>
        <v>0</v>
      </c>
    </row>
    <row r="112" spans="6:78" ht="12.75" hidden="1">
      <c r="F112" s="111">
        <f>IF(OR(F104=F105,F105&gt;E136),0,F105)</f>
        <v>40817</v>
      </c>
      <c r="H112" s="101">
        <f t="shared" si="41"/>
        <v>13660</v>
      </c>
      <c r="I112" s="101">
        <f t="shared" si="42"/>
        <v>12910</v>
      </c>
      <c r="J112" t="str">
        <f>IF(F112=E139,O79,J111)</f>
        <v>18030-43630</v>
      </c>
      <c r="K112" t="str">
        <f>IF(F111=E139,O79,J111)</f>
        <v>18030-43630</v>
      </c>
      <c r="L112" t="str">
        <f>IF(O114=E43,J112,K112)</f>
        <v>18030-43630</v>
      </c>
      <c r="N112" t="s">
        <v>528</v>
      </c>
      <c r="Q112" t="s">
        <v>484</v>
      </c>
      <c r="S112" s="15"/>
      <c r="T112" s="15"/>
      <c r="U112" s="15"/>
      <c r="V112" s="15"/>
      <c r="W112" s="15"/>
      <c r="X112" s="451"/>
      <c r="Y112" s="450">
        <v>60</v>
      </c>
      <c r="Z112" s="12">
        <f>Z111+850</f>
        <v>33200</v>
      </c>
      <c r="AA112" s="12">
        <f>AA111+850</f>
        <v>34050</v>
      </c>
      <c r="AB112" s="12">
        <v>34900</v>
      </c>
      <c r="AC112" s="126">
        <v>60</v>
      </c>
      <c r="AD112" s="12">
        <f>AD111+800</f>
        <v>32350</v>
      </c>
      <c r="AE112" s="15"/>
      <c r="AI112">
        <v>10</v>
      </c>
      <c r="AJ112" s="111">
        <f t="shared" si="35"/>
        <v>40210</v>
      </c>
      <c r="AK112" s="111">
        <f t="shared" si="36"/>
        <v>40452</v>
      </c>
      <c r="AL112" s="111">
        <f t="shared" si="37"/>
        <v>40628.01</v>
      </c>
      <c r="AM112" s="111">
        <f t="shared" si="38"/>
        <v>40817</v>
      </c>
      <c r="AN112" s="111">
        <f t="shared" si="34"/>
        <v>41183</v>
      </c>
      <c r="AO112" s="111">
        <f t="shared" si="34"/>
        <v>0</v>
      </c>
      <c r="AP112" s="111">
        <f t="shared" si="34"/>
        <v>0</v>
      </c>
      <c r="AQ112" s="111">
        <f t="shared" si="34"/>
        <v>0</v>
      </c>
      <c r="BE112" s="12">
        <v>60</v>
      </c>
      <c r="BF112" s="12" t="s">
        <v>272</v>
      </c>
      <c r="BH112" s="12">
        <f>BH111+850</f>
        <v>33200</v>
      </c>
      <c r="BI112">
        <v>60</v>
      </c>
      <c r="BJ112" s="111">
        <v>40808</v>
      </c>
      <c r="BK112" s="2">
        <v>39689</v>
      </c>
      <c r="BN112" s="2">
        <v>41006</v>
      </c>
      <c r="BO112" s="111">
        <f t="shared" si="39"/>
        <v>40817.01</v>
      </c>
      <c r="BP112" s="111">
        <f t="shared" si="40"/>
        <v>0</v>
      </c>
      <c r="BQ112">
        <f>BILL!D37</f>
        <v>0</v>
      </c>
      <c r="BR112">
        <f t="shared" si="22"/>
        <v>40817.299999999996</v>
      </c>
      <c r="BS112">
        <f>BILL!Z37</f>
        <v>0</v>
      </c>
      <c r="BT112">
        <f>BILL!X37</f>
        <v>0</v>
      </c>
      <c r="BU112">
        <f>BILL!P37</f>
        <v>0</v>
      </c>
      <c r="BV112">
        <f>BILL!N37</f>
        <v>0</v>
      </c>
      <c r="BW112">
        <f>VLOOKUP(BN112,BR79:BV112,2,TRUE)</f>
        <v>0</v>
      </c>
      <c r="BX112">
        <f>VLOOKUP(BN112,BR79:BV112,3,TRUE)</f>
        <v>0</v>
      </c>
      <c r="BY112">
        <f>VLOOKUP(BN112,BR79:BV112,4,TRUE)</f>
        <v>0</v>
      </c>
      <c r="BZ112">
        <f>VLOOKUP(BN112,BR79:BV112,5,TRUE)</f>
        <v>0</v>
      </c>
    </row>
    <row r="113" spans="6:68" ht="12.75" hidden="1">
      <c r="F113" s="111">
        <f>IF(OR(F105=F106,F106&gt;E136),0,F106)</f>
        <v>0</v>
      </c>
      <c r="H113" s="101">
        <f t="shared" si="41"/>
        <v>0</v>
      </c>
      <c r="I113" s="101">
        <f t="shared" si="42"/>
        <v>0</v>
      </c>
      <c r="J113" t="str">
        <f>IF(F113=E139,O79,J112)</f>
        <v>18030-43630</v>
      </c>
      <c r="K113" t="str">
        <f>IF(F112=E139,O79,J112)</f>
        <v>18030-43630</v>
      </c>
      <c r="L113" t="str">
        <f>IF(O114=E43,J113,K113)</f>
        <v>18030-43630</v>
      </c>
      <c r="N113" t="s">
        <v>529</v>
      </c>
      <c r="O113" t="s">
        <v>495</v>
      </c>
      <c r="Q113" t="s">
        <v>485</v>
      </c>
      <c r="S113" s="15"/>
      <c r="T113" s="15"/>
      <c r="U113" s="15"/>
      <c r="V113" s="15"/>
      <c r="W113" s="15"/>
      <c r="X113" s="451"/>
      <c r="Y113" s="450">
        <v>61</v>
      </c>
      <c r="Z113" s="12">
        <f>Z112+850</f>
        <v>34050</v>
      </c>
      <c r="AA113" s="12">
        <f>AA112+850</f>
        <v>34900</v>
      </c>
      <c r="AB113" s="12">
        <v>35800</v>
      </c>
      <c r="AC113" s="126">
        <v>61</v>
      </c>
      <c r="AD113" s="12">
        <f>AD112+850</f>
        <v>33200</v>
      </c>
      <c r="AE113" s="15"/>
      <c r="BE113" s="12">
        <v>61</v>
      </c>
      <c r="BF113" s="12" t="s">
        <v>273</v>
      </c>
      <c r="BH113" s="12">
        <f>BH112+850</f>
        <v>34050</v>
      </c>
      <c r="BI113">
        <v>61</v>
      </c>
      <c r="BJ113" s="111">
        <v>40809</v>
      </c>
      <c r="BK113" s="2">
        <v>39690</v>
      </c>
      <c r="BN113" s="2"/>
      <c r="BO113" s="111"/>
      <c r="BP113" s="111"/>
    </row>
    <row r="114" spans="6:68" ht="12.75" hidden="1">
      <c r="F114" s="111">
        <f>IF(OR(F106=F107,F107&gt;E136),0,F107)</f>
        <v>0</v>
      </c>
      <c r="H114" s="101">
        <f t="shared" si="41"/>
        <v>0</v>
      </c>
      <c r="I114" s="101">
        <f t="shared" si="42"/>
        <v>0</v>
      </c>
      <c r="J114" t="str">
        <f>IF(F114=E139,O79,J113)</f>
        <v>18030-43630</v>
      </c>
      <c r="K114" t="str">
        <f>IF(F113=E139,O79,J113)</f>
        <v>18030-43630</v>
      </c>
      <c r="L114" t="str">
        <f>IF(O114=E43,J114,K114)</f>
        <v>18030-43630</v>
      </c>
      <c r="N114" s="318" t="s">
        <v>605</v>
      </c>
      <c r="O114" t="s">
        <v>182</v>
      </c>
      <c r="Q114" t="s">
        <v>486</v>
      </c>
      <c r="S114" s="15"/>
      <c r="T114" s="15"/>
      <c r="U114" s="15"/>
      <c r="V114" s="15"/>
      <c r="W114" s="15"/>
      <c r="X114" s="451"/>
      <c r="Y114" s="450">
        <v>62</v>
      </c>
      <c r="Z114" s="12">
        <f>Z113+850</f>
        <v>34900</v>
      </c>
      <c r="AA114" s="12">
        <f>AA113+900</f>
        <v>35800</v>
      </c>
      <c r="AB114" s="12">
        <v>36700</v>
      </c>
      <c r="AC114" s="126">
        <v>62</v>
      </c>
      <c r="AD114" s="12">
        <f>AD113+850</f>
        <v>34050</v>
      </c>
      <c r="AE114" s="15"/>
      <c r="BE114" s="12">
        <v>62</v>
      </c>
      <c r="BF114" s="12" t="s">
        <v>274</v>
      </c>
      <c r="BH114" s="12">
        <f>BH113+850</f>
        <v>34900</v>
      </c>
      <c r="BI114">
        <v>62</v>
      </c>
      <c r="BJ114" s="111">
        <v>40810</v>
      </c>
      <c r="BK114" s="2">
        <v>39691</v>
      </c>
      <c r="BN114" s="2"/>
      <c r="BO114" s="111"/>
      <c r="BP114" s="111"/>
    </row>
    <row r="115" spans="6:68" ht="12.75" hidden="1">
      <c r="F115" s="111">
        <f>IF(OR(F107=F108,F108&gt;E136),0,F108)</f>
        <v>0</v>
      </c>
      <c r="H115" s="101">
        <f t="shared" si="41"/>
        <v>0</v>
      </c>
      <c r="I115" s="101">
        <f t="shared" si="42"/>
        <v>0</v>
      </c>
      <c r="J115" t="str">
        <f>IF(F115=E139,O79,J114)</f>
        <v>18030-43630</v>
      </c>
      <c r="K115" t="str">
        <f>IF(F114=E139,O79,J114)</f>
        <v>18030-43630</v>
      </c>
      <c r="L115" t="str">
        <f>IF(O114=E43,J115,K115)</f>
        <v>18030-43630</v>
      </c>
      <c r="N115" s="318" t="s">
        <v>606</v>
      </c>
      <c r="Q115" t="s">
        <v>487</v>
      </c>
      <c r="S115" s="15"/>
      <c r="T115" s="15"/>
      <c r="U115" s="15"/>
      <c r="V115" s="15"/>
      <c r="W115" s="15"/>
      <c r="X115" s="451"/>
      <c r="Y115" s="450">
        <v>63</v>
      </c>
      <c r="Z115" s="12">
        <f>Z114+900</f>
        <v>35800</v>
      </c>
      <c r="AA115" s="12">
        <f>AA114+900</f>
        <v>36700</v>
      </c>
      <c r="AB115" s="12">
        <v>37600</v>
      </c>
      <c r="AC115" s="126">
        <v>63</v>
      </c>
      <c r="AD115" s="12">
        <f>AD114+850</f>
        <v>34900</v>
      </c>
      <c r="AE115" s="15"/>
      <c r="BE115" s="12">
        <v>63</v>
      </c>
      <c r="BF115" s="12" t="s">
        <v>275</v>
      </c>
      <c r="BH115" s="12">
        <f>BH114+900</f>
        <v>35800</v>
      </c>
      <c r="BI115">
        <v>63</v>
      </c>
      <c r="BJ115" s="111">
        <v>40811</v>
      </c>
      <c r="BK115" s="2">
        <v>39692</v>
      </c>
      <c r="BN115" s="2"/>
      <c r="BO115" s="111"/>
      <c r="BP115" s="111"/>
    </row>
    <row r="116" spans="8:68" ht="12.75" hidden="1">
      <c r="H116" s="101"/>
      <c r="I116" s="101"/>
      <c r="N116">
        <v>20</v>
      </c>
      <c r="Q116" t="s">
        <v>488</v>
      </c>
      <c r="S116" s="15"/>
      <c r="T116" s="15"/>
      <c r="U116" s="15"/>
      <c r="V116" s="15"/>
      <c r="W116" s="15"/>
      <c r="X116" s="451"/>
      <c r="Y116" s="450">
        <v>64</v>
      </c>
      <c r="Z116" s="12">
        <f>Z115+900</f>
        <v>36700</v>
      </c>
      <c r="AA116" s="12">
        <f>AA115+900</f>
        <v>37600</v>
      </c>
      <c r="AB116" s="12">
        <v>38570</v>
      </c>
      <c r="AC116" s="126">
        <v>64</v>
      </c>
      <c r="AD116" s="12">
        <f>AD115+900</f>
        <v>35800</v>
      </c>
      <c r="AE116" s="15"/>
      <c r="BE116" s="12">
        <v>64</v>
      </c>
      <c r="BF116" s="12" t="s">
        <v>276</v>
      </c>
      <c r="BH116" s="12">
        <f>BH115+900</f>
        <v>36700</v>
      </c>
      <c r="BI116">
        <v>64</v>
      </c>
      <c r="BJ116" s="111">
        <v>40812</v>
      </c>
      <c r="BK116" s="2">
        <v>39693</v>
      </c>
      <c r="BN116" s="2"/>
      <c r="BO116" s="111"/>
      <c r="BP116" s="111"/>
    </row>
    <row r="117" spans="14:68" ht="12.75" hidden="1">
      <c r="N117">
        <v>30</v>
      </c>
      <c r="Q117" t="s">
        <v>489</v>
      </c>
      <c r="S117" s="15"/>
      <c r="T117" s="15"/>
      <c r="U117" s="15"/>
      <c r="V117" s="15"/>
      <c r="W117" s="15"/>
      <c r="X117" s="451"/>
      <c r="Y117" s="450">
        <v>65</v>
      </c>
      <c r="Z117" s="12">
        <f>Z116+900</f>
        <v>37600</v>
      </c>
      <c r="AA117" s="12">
        <f>AA116+970</f>
        <v>38570</v>
      </c>
      <c r="AB117" s="12">
        <v>39540</v>
      </c>
      <c r="AC117" s="126">
        <v>65</v>
      </c>
      <c r="AD117" s="12">
        <f>AD116+900</f>
        <v>36700</v>
      </c>
      <c r="AE117" s="15"/>
      <c r="BE117" s="12">
        <v>65</v>
      </c>
      <c r="BF117" s="12" t="s">
        <v>277</v>
      </c>
      <c r="BH117" s="12">
        <f>BH116+900</f>
        <v>37600</v>
      </c>
      <c r="BI117">
        <v>65</v>
      </c>
      <c r="BJ117" s="111">
        <v>40813</v>
      </c>
      <c r="BK117" s="2">
        <v>39694</v>
      </c>
      <c r="BN117" s="2"/>
      <c r="BO117" s="111"/>
      <c r="BP117" s="111"/>
    </row>
    <row r="118" spans="17:63" ht="12.75" hidden="1">
      <c r="Q118" t="s">
        <v>490</v>
      </c>
      <c r="S118" s="15"/>
      <c r="T118" s="15"/>
      <c r="U118" s="15"/>
      <c r="V118" s="15"/>
      <c r="W118" s="15"/>
      <c r="X118" s="451"/>
      <c r="Y118" s="450">
        <v>66</v>
      </c>
      <c r="Z118" s="12">
        <f>Z117+970</f>
        <v>38570</v>
      </c>
      <c r="AA118" s="12">
        <f>AA117+970</f>
        <v>39540</v>
      </c>
      <c r="AB118" s="12">
        <v>40510</v>
      </c>
      <c r="AC118" s="126">
        <v>66</v>
      </c>
      <c r="AD118" s="12">
        <f>AD117+900</f>
        <v>37600</v>
      </c>
      <c r="AE118" s="15"/>
      <c r="BE118" s="12">
        <v>66</v>
      </c>
      <c r="BF118" s="12" t="s">
        <v>278</v>
      </c>
      <c r="BH118" s="12">
        <f>BH117+970</f>
        <v>38570</v>
      </c>
      <c r="BI118">
        <v>66</v>
      </c>
      <c r="BJ118" s="111">
        <v>40814</v>
      </c>
      <c r="BK118" s="2">
        <v>39695</v>
      </c>
    </row>
    <row r="119" spans="17:63" ht="12.75" hidden="1">
      <c r="Q119" t="s">
        <v>491</v>
      </c>
      <c r="S119" s="15"/>
      <c r="T119" s="15"/>
      <c r="U119" s="15"/>
      <c r="V119" s="15"/>
      <c r="W119" s="15"/>
      <c r="X119" s="451"/>
      <c r="Y119" s="450">
        <v>67</v>
      </c>
      <c r="Z119" s="12">
        <f>Z118+970</f>
        <v>39540</v>
      </c>
      <c r="AA119" s="12">
        <f>AA118+970</f>
        <v>40510</v>
      </c>
      <c r="AB119" s="12">
        <v>41550</v>
      </c>
      <c r="AC119" s="126">
        <v>67</v>
      </c>
      <c r="AD119" s="12">
        <f>AD118+970</f>
        <v>38570</v>
      </c>
      <c r="AE119" s="15"/>
      <c r="BE119" s="12">
        <v>67</v>
      </c>
      <c r="BF119" s="12" t="s">
        <v>279</v>
      </c>
      <c r="BH119" s="12">
        <f>BH118+970</f>
        <v>39540</v>
      </c>
      <c r="BI119">
        <v>67</v>
      </c>
      <c r="BJ119" s="111">
        <v>40815</v>
      </c>
      <c r="BK119" s="2">
        <v>39696</v>
      </c>
    </row>
    <row r="120" spans="17:63" ht="12.75" hidden="1">
      <c r="Q120" t="s">
        <v>492</v>
      </c>
      <c r="S120" s="15"/>
      <c r="T120" s="15"/>
      <c r="U120" s="15"/>
      <c r="V120" s="15"/>
      <c r="W120" s="15"/>
      <c r="X120" s="451"/>
      <c r="Y120" s="450">
        <v>68</v>
      </c>
      <c r="Z120" s="12">
        <f>Z119+970</f>
        <v>40510</v>
      </c>
      <c r="AA120" s="12">
        <f>AA119+1040</f>
        <v>41550</v>
      </c>
      <c r="AB120" s="12">
        <v>42590</v>
      </c>
      <c r="AC120" s="126">
        <v>68</v>
      </c>
      <c r="AD120" s="12">
        <f>AD119+970</f>
        <v>39540</v>
      </c>
      <c r="AE120" s="15"/>
      <c r="BE120" s="12">
        <v>68</v>
      </c>
      <c r="BF120" s="12" t="s">
        <v>280</v>
      </c>
      <c r="BH120" s="12">
        <f>BH119+970</f>
        <v>40510</v>
      </c>
      <c r="BI120">
        <v>68</v>
      </c>
      <c r="BJ120" s="111">
        <v>40816</v>
      </c>
      <c r="BK120" s="2">
        <v>39697</v>
      </c>
    </row>
    <row r="121" spans="3:63" ht="15" hidden="1">
      <c r="C121" t="s">
        <v>474</v>
      </c>
      <c r="E121" s="370">
        <f>IF(E9="Z.P.P.F.",2,1)</f>
        <v>2</v>
      </c>
      <c r="S121" s="15"/>
      <c r="T121" s="15"/>
      <c r="U121" s="15"/>
      <c r="V121" s="15"/>
      <c r="W121" s="15"/>
      <c r="X121" s="451"/>
      <c r="Y121" s="450">
        <v>69</v>
      </c>
      <c r="Z121" s="12">
        <f>Z120+1040</f>
        <v>41550</v>
      </c>
      <c r="AA121" s="12">
        <f>AA120+1040</f>
        <v>42590</v>
      </c>
      <c r="AB121" s="12">
        <v>43630</v>
      </c>
      <c r="AC121" s="126">
        <v>69</v>
      </c>
      <c r="AD121" s="12">
        <f>AD120+970</f>
        <v>40510</v>
      </c>
      <c r="AE121" s="15"/>
      <c r="BE121" s="12">
        <v>69</v>
      </c>
      <c r="BF121" s="12" t="s">
        <v>281</v>
      </c>
      <c r="BH121" s="12">
        <f>BH120+1040</f>
        <v>41550</v>
      </c>
      <c r="BI121">
        <v>69</v>
      </c>
      <c r="BJ121" s="111">
        <v>40817</v>
      </c>
      <c r="BK121" s="2">
        <v>39698</v>
      </c>
    </row>
    <row r="122" spans="3:63" ht="15" hidden="1">
      <c r="C122" t="s">
        <v>476</v>
      </c>
      <c r="E122" s="383">
        <f>IF(E13="YES",1,0)</f>
        <v>0</v>
      </c>
      <c r="Q122" t="s">
        <v>507</v>
      </c>
      <c r="S122" s="15"/>
      <c r="T122" s="15"/>
      <c r="U122" s="15"/>
      <c r="V122" s="15"/>
      <c r="W122" s="15"/>
      <c r="X122" s="451"/>
      <c r="Y122" s="450">
        <v>70</v>
      </c>
      <c r="Z122" s="12">
        <f>Z121+1040</f>
        <v>42590</v>
      </c>
      <c r="AA122" s="12">
        <f>AA121+1040</f>
        <v>43630</v>
      </c>
      <c r="AB122" s="12">
        <v>44740</v>
      </c>
      <c r="AC122" s="126">
        <v>70</v>
      </c>
      <c r="AD122" s="12">
        <f>AD121+1040</f>
        <v>41550</v>
      </c>
      <c r="AE122" s="15"/>
      <c r="BE122" s="12">
        <v>70</v>
      </c>
      <c r="BF122" s="12" t="s">
        <v>282</v>
      </c>
      <c r="BH122" s="12">
        <f>BH121+1040</f>
        <v>42590</v>
      </c>
      <c r="BI122">
        <v>70</v>
      </c>
      <c r="BJ122" s="111">
        <v>40818</v>
      </c>
      <c r="BK122" s="2">
        <v>39699</v>
      </c>
    </row>
    <row r="123" spans="5:63" ht="15" hidden="1">
      <c r="E123" s="371">
        <f>ROUNDDOWN(E17/10000000000,0)</f>
        <v>0</v>
      </c>
      <c r="F123" s="370">
        <f>ROUNDDOWN((E17-E123*10000000000)/1000000000,0)</f>
        <v>7</v>
      </c>
      <c r="G123" s="370">
        <f>ROUNDDOWN((E17-E123*10000000000-F123*1000000000)/100000000,0)</f>
        <v>0</v>
      </c>
      <c r="H123" s="370">
        <f>ROUNDDOWN((E17-E123*10000000000-F123*1000000000-G123*100000000)/10000000,0)</f>
        <v>2</v>
      </c>
      <c r="I123" s="370">
        <f>ROUNDDOWN((E17-E123*10000000000-F123*1000000000-G123*100000000-H123*10000000)/1000000,0)</f>
        <v>0</v>
      </c>
      <c r="J123" s="370">
        <f>ROUNDDOWN((E17-E123*10000000000-F123*1000000000-G123*100000000-H123*10000000-I123*1000000)/100000,0)</f>
        <v>3</v>
      </c>
      <c r="K123" s="370">
        <f>ROUNDDOWN((E17-E123*10000000000-F123*1000000000-G123*100000000-H123*10000000-I123*1000000-J123*100000)/10000,0)</f>
        <v>0</v>
      </c>
      <c r="L123" s="370">
        <f>ROUNDDOWN((E17-E123*10000000000-F123*1000000000-G123*100000000-H123*10000000-I123*1000000-J123*100000-K123*10000)/1000,0)</f>
        <v>8</v>
      </c>
      <c r="M123" s="370">
        <f>ROUNDDOWN((E17-E123*10000000000-F123*1000000000-G123*100000000-H123*10000000-I123*1000000-J123*100000-K123*10000-L123*1000)/100,0)</f>
        <v>0</v>
      </c>
      <c r="N123" s="370">
        <f>ROUNDDOWN((E17-E123*10000000000-F123*1000000000-G123*100000000-H123*10000000-I123*1000000-J123*100000-K123*10000-L123*1000-M123*100)/10,0)</f>
        <v>0</v>
      </c>
      <c r="O123" s="370">
        <f>ROUNDDOWN((E17-E123*10000000000-F123*1000000000-G123*100000000-H123*10000000-I123*1000000-J123*100000-K123*10000-L123*1000-M123*100-N123*10),0)</f>
        <v>8</v>
      </c>
      <c r="Q123" t="s">
        <v>570</v>
      </c>
      <c r="S123" s="15"/>
      <c r="T123" s="15"/>
      <c r="U123" s="15"/>
      <c r="V123" s="15"/>
      <c r="W123" s="15"/>
      <c r="X123" s="451"/>
      <c r="Y123" s="450">
        <v>71</v>
      </c>
      <c r="Z123" s="12">
        <f>Z122+1040</f>
        <v>43630</v>
      </c>
      <c r="AA123" s="12">
        <f>AA122+1110</f>
        <v>44740</v>
      </c>
      <c r="AB123" s="12">
        <v>45850</v>
      </c>
      <c r="AC123" s="126">
        <v>71</v>
      </c>
      <c r="AD123" s="12">
        <f>AD122+1040</f>
        <v>42590</v>
      </c>
      <c r="AE123" s="15"/>
      <c r="BE123" s="12">
        <v>71</v>
      </c>
      <c r="BF123" s="12" t="s">
        <v>283</v>
      </c>
      <c r="BH123" s="12">
        <f>BH122+1040</f>
        <v>43630</v>
      </c>
      <c r="BI123">
        <v>71</v>
      </c>
      <c r="BJ123" s="111">
        <v>40819</v>
      </c>
      <c r="BK123" s="2">
        <v>39700</v>
      </c>
    </row>
    <row r="124" spans="5:63" ht="12.75" hidden="1">
      <c r="E124" s="373">
        <f>IF(E23=O107,1,2)</f>
        <v>2</v>
      </c>
      <c r="Q124" t="s">
        <v>508</v>
      </c>
      <c r="S124" s="15"/>
      <c r="T124" s="15"/>
      <c r="U124" s="15"/>
      <c r="V124" s="15"/>
      <c r="W124" s="15"/>
      <c r="X124" s="451"/>
      <c r="Y124" s="450">
        <v>72</v>
      </c>
      <c r="Z124" s="12">
        <f>Z123+1110</f>
        <v>44740</v>
      </c>
      <c r="AA124" s="12">
        <f>AA123+1110</f>
        <v>45850</v>
      </c>
      <c r="AB124" s="12">
        <v>46960</v>
      </c>
      <c r="AC124" s="126">
        <v>72</v>
      </c>
      <c r="AD124" s="12">
        <f>AD123+1040</f>
        <v>43630</v>
      </c>
      <c r="AE124" s="15"/>
      <c r="BE124" s="12">
        <v>72</v>
      </c>
      <c r="BF124" s="12" t="s">
        <v>284</v>
      </c>
      <c r="BH124" s="12">
        <f>BH123+1110</f>
        <v>44740</v>
      </c>
      <c r="BI124">
        <v>72</v>
      </c>
      <c r="BJ124" s="111">
        <v>40820</v>
      </c>
      <c r="BK124" s="2">
        <v>39701</v>
      </c>
    </row>
    <row r="125" spans="3:63" ht="15" hidden="1">
      <c r="C125" t="s">
        <v>479</v>
      </c>
      <c r="E125" s="376">
        <f>IF(OR(E31=N109,E31=N110),1,IF(E31=N111,2,IF(E31=N113,4,3)))</f>
        <v>1</v>
      </c>
      <c r="Q125" t="s">
        <v>509</v>
      </c>
      <c r="S125" s="15"/>
      <c r="T125" s="15"/>
      <c r="U125" s="15"/>
      <c r="V125" s="15"/>
      <c r="W125" s="15"/>
      <c r="X125" s="451"/>
      <c r="Y125" s="450">
        <v>73</v>
      </c>
      <c r="Z125" s="12">
        <f>Z124+1110</f>
        <v>45850</v>
      </c>
      <c r="AA125" s="12">
        <f>AA124+1110</f>
        <v>46960</v>
      </c>
      <c r="AB125" s="12">
        <v>48160</v>
      </c>
      <c r="AC125" s="126">
        <v>73</v>
      </c>
      <c r="AD125" s="12">
        <f>AD124+1110</f>
        <v>44740</v>
      </c>
      <c r="AE125" s="15"/>
      <c r="BE125" s="12">
        <v>73</v>
      </c>
      <c r="BF125" s="12" t="s">
        <v>285</v>
      </c>
      <c r="BH125" s="12">
        <f>BH124+1110</f>
        <v>45850</v>
      </c>
      <c r="BI125">
        <v>73</v>
      </c>
      <c r="BJ125" s="111">
        <v>40821</v>
      </c>
      <c r="BK125" s="2">
        <v>39702</v>
      </c>
    </row>
    <row r="126" spans="5:63" ht="15" hidden="1">
      <c r="E126" s="377">
        <f>IF(E33=P107,1,2)</f>
        <v>1</v>
      </c>
      <c r="M126">
        <v>1</v>
      </c>
      <c r="N126">
        <v>31</v>
      </c>
      <c r="Q126" t="s">
        <v>510</v>
      </c>
      <c r="S126" s="15"/>
      <c r="T126" s="15"/>
      <c r="U126" s="15"/>
      <c r="V126" s="15"/>
      <c r="W126" s="15"/>
      <c r="X126" s="451"/>
      <c r="Y126" s="450">
        <v>74</v>
      </c>
      <c r="Z126" s="12">
        <f>Z125+1110</f>
        <v>46960</v>
      </c>
      <c r="AA126" s="12">
        <f>AA125+1200</f>
        <v>48160</v>
      </c>
      <c r="AB126" s="12">
        <v>49360</v>
      </c>
      <c r="AC126" s="126">
        <v>74</v>
      </c>
      <c r="AD126" s="12">
        <f>AD125+1110</f>
        <v>45850</v>
      </c>
      <c r="AE126" s="15"/>
      <c r="BE126" s="12">
        <v>74</v>
      </c>
      <c r="BF126" s="12" t="s">
        <v>286</v>
      </c>
      <c r="BH126" s="12">
        <f>BH125+1110</f>
        <v>46960</v>
      </c>
      <c r="BI126">
        <v>74</v>
      </c>
      <c r="BJ126" s="111">
        <v>40822</v>
      </c>
      <c r="BK126" s="2">
        <v>39703</v>
      </c>
    </row>
    <row r="127" spans="5:63" ht="15" hidden="1">
      <c r="E127" s="376">
        <f>IF(OR(E40=Q109,E40=Q110,E40=Q111,E40=Q112,E40=Q113,E40=Q114),IF(OR(E40=Q109,E40=Q110,E40=Q111),IF(E40=Q109,1,IF(E40=Q110,2,3)),IF(E40=Q112,4,IF(E40=Q113,5,6))),IF(OR(E40=Q115,E40=Q116,E40=Q117),IF(E40=Q115,7,IF(E40=Q116,8,9)),IF(E40=Q118,10,IF(E40=Q119,11,12))))</f>
        <v>10</v>
      </c>
      <c r="M127">
        <v>2</v>
      </c>
      <c r="N127">
        <v>28</v>
      </c>
      <c r="Q127" t="s">
        <v>511</v>
      </c>
      <c r="S127" s="15"/>
      <c r="T127" s="15"/>
      <c r="U127" s="15"/>
      <c r="V127" s="15"/>
      <c r="W127" s="15"/>
      <c r="X127" s="451"/>
      <c r="Y127" s="450">
        <v>75</v>
      </c>
      <c r="Z127" s="12">
        <f>Z126+1200</f>
        <v>48160</v>
      </c>
      <c r="AA127" s="12">
        <f>AA126+1200</f>
        <v>49360</v>
      </c>
      <c r="AB127" s="12">
        <v>50560</v>
      </c>
      <c r="AC127" s="126">
        <v>75</v>
      </c>
      <c r="AD127" s="12">
        <f>AD126+1110</f>
        <v>46960</v>
      </c>
      <c r="AE127" s="15"/>
      <c r="BE127" s="12">
        <v>75</v>
      </c>
      <c r="BF127" s="12" t="s">
        <v>287</v>
      </c>
      <c r="BH127" s="12">
        <f>BH126+1200</f>
        <v>48160</v>
      </c>
      <c r="BI127">
        <v>75</v>
      </c>
      <c r="BJ127" s="111">
        <v>40823</v>
      </c>
      <c r="BK127" s="2">
        <v>39704</v>
      </c>
    </row>
    <row r="128" spans="5:63" ht="15" hidden="1">
      <c r="E128" s="370">
        <f>IF(E42=O107,1,2)</f>
        <v>1</v>
      </c>
      <c r="M128">
        <v>3</v>
      </c>
      <c r="N128">
        <v>31</v>
      </c>
      <c r="Q128" t="s">
        <v>512</v>
      </c>
      <c r="S128" s="15"/>
      <c r="T128" s="15"/>
      <c r="U128" s="15"/>
      <c r="V128" s="15"/>
      <c r="W128" s="15"/>
      <c r="X128" s="451"/>
      <c r="Y128" s="450">
        <v>76</v>
      </c>
      <c r="Z128" s="12">
        <f>Z127+1200</f>
        <v>49360</v>
      </c>
      <c r="AA128" s="12">
        <f>AA127+1200</f>
        <v>50560</v>
      </c>
      <c r="AB128" s="12">
        <v>51760</v>
      </c>
      <c r="AC128" s="126">
        <v>76</v>
      </c>
      <c r="AD128" s="12">
        <f>AD127+1200</f>
        <v>48160</v>
      </c>
      <c r="AE128" s="15"/>
      <c r="BE128" s="12">
        <v>76</v>
      </c>
      <c r="BF128" s="12" t="s">
        <v>288</v>
      </c>
      <c r="BH128" s="12">
        <f>BH127+1200</f>
        <v>49360</v>
      </c>
      <c r="BI128">
        <v>76</v>
      </c>
      <c r="BJ128" s="111">
        <v>40824</v>
      </c>
      <c r="BK128" s="2">
        <v>39705</v>
      </c>
    </row>
    <row r="129" spans="5:63" ht="15" hidden="1">
      <c r="E129" s="370">
        <f>IF(E43=O113,1,2)</f>
        <v>1</v>
      </c>
      <c r="M129">
        <v>4</v>
      </c>
      <c r="N129">
        <v>30</v>
      </c>
      <c r="Q129" t="s">
        <v>513</v>
      </c>
      <c r="S129" s="15"/>
      <c r="T129" s="15"/>
      <c r="U129" s="15"/>
      <c r="V129" s="15"/>
      <c r="W129" s="15"/>
      <c r="X129" s="451"/>
      <c r="Y129" s="450">
        <v>77</v>
      </c>
      <c r="Z129" s="12">
        <f>Z128+1200</f>
        <v>50560</v>
      </c>
      <c r="AA129" s="12">
        <f>AA128+1200</f>
        <v>51760</v>
      </c>
      <c r="AB129" s="12">
        <v>53060</v>
      </c>
      <c r="AC129" s="126">
        <v>77</v>
      </c>
      <c r="AD129" s="12">
        <f>AD128+1200</f>
        <v>49360</v>
      </c>
      <c r="AE129" s="15"/>
      <c r="BE129" s="12">
        <v>77</v>
      </c>
      <c r="BF129" s="12" t="s">
        <v>289</v>
      </c>
      <c r="BH129" s="12">
        <f>BH128+1200</f>
        <v>50560</v>
      </c>
      <c r="BI129">
        <v>77</v>
      </c>
      <c r="BJ129" s="111">
        <v>40825</v>
      </c>
      <c r="BK129" s="2">
        <v>39706</v>
      </c>
    </row>
    <row r="130" spans="5:63" ht="15" hidden="1">
      <c r="E130" s="376" t="e">
        <f>IF(#REF!=O107,1,2)</f>
        <v>#REF!</v>
      </c>
      <c r="M130">
        <v>5</v>
      </c>
      <c r="N130">
        <v>31</v>
      </c>
      <c r="Q130" t="s">
        <v>514</v>
      </c>
      <c r="S130" s="15"/>
      <c r="T130" s="15"/>
      <c r="U130" s="15"/>
      <c r="V130" s="15"/>
      <c r="W130" s="15"/>
      <c r="X130" s="451"/>
      <c r="Y130" s="450">
        <v>78</v>
      </c>
      <c r="Z130" s="12">
        <f>Z129+1200</f>
        <v>51760</v>
      </c>
      <c r="AA130" s="12">
        <f aca="true" t="shared" si="43" ref="AA130:AA136">AA129+1300</f>
        <v>53060</v>
      </c>
      <c r="AB130" s="12">
        <v>54360</v>
      </c>
      <c r="AC130" s="126">
        <v>78</v>
      </c>
      <c r="AD130" s="12">
        <f>AD129+1200</f>
        <v>50560</v>
      </c>
      <c r="AE130" s="15"/>
      <c r="BE130" s="12">
        <v>78</v>
      </c>
      <c r="BF130" s="12" t="s">
        <v>290</v>
      </c>
      <c r="BH130" s="12">
        <f>BH129+1200</f>
        <v>51760</v>
      </c>
      <c r="BI130">
        <v>78</v>
      </c>
      <c r="BJ130" s="111">
        <v>40826</v>
      </c>
      <c r="BK130" s="2">
        <v>39707</v>
      </c>
    </row>
    <row r="131" spans="5:63" ht="15" hidden="1">
      <c r="E131" s="372">
        <f>ROUNDDOWN(E19/1000,0)</f>
        <v>0</v>
      </c>
      <c r="F131" s="372">
        <f>ROUNDDOWN((E19-E131*1000)/100,0)</f>
        <v>7</v>
      </c>
      <c r="G131" s="372">
        <f>ROUNDDOWN((E19-(E131*1000+F131*100))/10,0)</f>
        <v>5</v>
      </c>
      <c r="H131" s="372">
        <f>(E19-E131*1000-F131*100-G131*10)</f>
        <v>1</v>
      </c>
      <c r="M131">
        <v>6</v>
      </c>
      <c r="N131">
        <v>30</v>
      </c>
      <c r="Q131" t="s">
        <v>515</v>
      </c>
      <c r="S131" s="15"/>
      <c r="T131" s="15"/>
      <c r="U131" s="15"/>
      <c r="V131" s="15"/>
      <c r="W131" s="15"/>
      <c r="X131" s="451"/>
      <c r="Y131" s="450">
        <v>79</v>
      </c>
      <c r="Z131" s="12">
        <f aca="true" t="shared" si="44" ref="Z131:Z136">Z130+1300</f>
        <v>53060</v>
      </c>
      <c r="AA131" s="12">
        <f t="shared" si="43"/>
        <v>54360</v>
      </c>
      <c r="AB131" s="12">
        <v>55660</v>
      </c>
      <c r="AC131" s="126">
        <v>79</v>
      </c>
      <c r="AD131" s="12">
        <f>AD130+1200</f>
        <v>51760</v>
      </c>
      <c r="AE131" s="15"/>
      <c r="AJ131" s="124">
        <f>'47-FRONT'!A65</f>
        <v>1</v>
      </c>
      <c r="AM131" t="s">
        <v>430</v>
      </c>
      <c r="AO131" s="15" t="s">
        <v>410</v>
      </c>
      <c r="BE131" s="12">
        <v>79</v>
      </c>
      <c r="BF131" s="12" t="s">
        <v>291</v>
      </c>
      <c r="BH131" s="12">
        <f aca="true" t="shared" si="45" ref="BH131:BH136">BH130+1300</f>
        <v>53060</v>
      </c>
      <c r="BI131">
        <v>79</v>
      </c>
      <c r="BJ131" s="111">
        <v>40827</v>
      </c>
      <c r="BK131" s="2">
        <v>39708</v>
      </c>
    </row>
    <row r="132" spans="3:63" ht="18" hidden="1">
      <c r="C132" t="s">
        <v>501</v>
      </c>
      <c r="E132" s="379" t="e">
        <f>IF(#REF!=P88,0,IF(#REF!=P89,1,IF(#REF!=P90,2,IF(#REF!=P91,3,IF(#REF!=P92,4,5)))))</f>
        <v>#REF!</v>
      </c>
      <c r="F132" s="380" t="e">
        <f>IF(#REF!=P88,0,IF(#REF!=P89,1,IF(#REF!=P90,2,IF(#REF!=P91,3,IF(#REF!=P92,4,5)))))</f>
        <v>#REF!</v>
      </c>
      <c r="G132" s="376" t="e">
        <f>IF(#REF!=P88,0,IF(#REF!=P89,1,IF(#REF!=P90,2,IF(#REF!=P91,3,IF(#REF!=P92,4,5)))))</f>
        <v>#REF!</v>
      </c>
      <c r="H132" s="381" t="e">
        <f>IF(OR(#REF!=P93,#REF!=P93,#REF!=P93),1,IF(OR(#REF!=P94,#REF!=P94,#REF!=P94),2,3))</f>
        <v>#REF!</v>
      </c>
      <c r="M132">
        <v>7</v>
      </c>
      <c r="N132">
        <v>31</v>
      </c>
      <c r="Q132" t="s">
        <v>516</v>
      </c>
      <c r="S132" s="15"/>
      <c r="T132" s="15"/>
      <c r="U132" s="15"/>
      <c r="V132" s="15"/>
      <c r="W132" s="15"/>
      <c r="X132" s="451"/>
      <c r="Y132" s="450">
        <v>80</v>
      </c>
      <c r="Z132" s="12">
        <f t="shared" si="44"/>
        <v>54360</v>
      </c>
      <c r="AA132" s="12">
        <f t="shared" si="43"/>
        <v>55660</v>
      </c>
      <c r="AB132" s="12">
        <v>56960</v>
      </c>
      <c r="AC132" s="126">
        <v>80</v>
      </c>
      <c r="AD132" s="12">
        <f aca="true" t="shared" si="46" ref="AD132:AD137">AD131+1300</f>
        <v>53060</v>
      </c>
      <c r="AE132" s="15"/>
      <c r="AJ132">
        <f>ROUNDDOWN(AJ131/100000,0)</f>
        <v>0</v>
      </c>
      <c r="AK132">
        <f>IF(AJ132=0,T(AJ132),VLOOKUP(AJ132,BE53:BF151,2,TRUE))</f>
      </c>
      <c r="AN132">
        <f>IF(AJ132=0,T(AJ132),IF(AND(AJ133=0,AJ134=0,AJ135=0,AJ132&lt;&gt;1)," LAKHS"," LAKH"))</f>
      </c>
      <c r="AO132" s="15"/>
      <c r="BE132" s="12">
        <v>80</v>
      </c>
      <c r="BF132" s="12" t="s">
        <v>292</v>
      </c>
      <c r="BH132" s="12">
        <f t="shared" si="45"/>
        <v>54360</v>
      </c>
      <c r="BI132">
        <v>80</v>
      </c>
      <c r="BJ132" s="111">
        <v>40828</v>
      </c>
      <c r="BK132" s="2">
        <v>39709</v>
      </c>
    </row>
    <row r="133" spans="5:63" ht="15" hidden="1">
      <c r="E133" s="376" t="e">
        <f>IF(#REF!=AH53,AG53,IF(#REF!=AH54,AG54,IF(#REF!=AH55,AG55,IF(#REF!=AH56,AG56,IF(#REF!=AH57,AG57,IF(#REF!=AH58,AG58,AG59))))))</f>
        <v>#REF!</v>
      </c>
      <c r="F133" t="e">
        <f>VLOOKUP(E133,AG53:AM59,7,TRUE)</f>
        <v>#REF!</v>
      </c>
      <c r="M133">
        <v>8</v>
      </c>
      <c r="N133">
        <v>31</v>
      </c>
      <c r="Q133" t="s">
        <v>517</v>
      </c>
      <c r="S133" s="15"/>
      <c r="T133" s="15"/>
      <c r="U133" s="15"/>
      <c r="V133" s="15"/>
      <c r="W133" s="15"/>
      <c r="X133" s="451"/>
      <c r="Y133" s="450">
        <v>81</v>
      </c>
      <c r="Z133" s="12">
        <f t="shared" si="44"/>
        <v>55660</v>
      </c>
      <c r="AA133" s="12">
        <f t="shared" si="43"/>
        <v>56960</v>
      </c>
      <c r="AB133" s="12">
        <v>58260</v>
      </c>
      <c r="AC133" s="126">
        <v>81</v>
      </c>
      <c r="AD133" s="12">
        <f t="shared" si="46"/>
        <v>54360</v>
      </c>
      <c r="AE133" s="15"/>
      <c r="AJ133">
        <f>ROUNDDOWN((AJ131-AJ132*100000)/1000,0)</f>
        <v>0</v>
      </c>
      <c r="AK133">
        <f>IF(AJ133=0,T(AJ133),VLOOKUP(AJ133,BE50:BF144,2,TRUE))</f>
      </c>
      <c r="AN133">
        <f>IF(AJ133=0,T(AJ133),IF(AND(AJ134=0,AJ135=0,AJ133&lt;&gt;1)," THOUSANDS"," THOUSAND"))</f>
      </c>
      <c r="AO133" s="15"/>
      <c r="BE133" s="12">
        <v>81</v>
      </c>
      <c r="BF133" s="12" t="s">
        <v>293</v>
      </c>
      <c r="BH133" s="12">
        <f t="shared" si="45"/>
        <v>55660</v>
      </c>
      <c r="BI133">
        <v>81</v>
      </c>
      <c r="BJ133" s="111">
        <v>40829</v>
      </c>
      <c r="BK133" s="2">
        <v>39710</v>
      </c>
    </row>
    <row r="134" spans="5:63" ht="15" hidden="1">
      <c r="E134" s="370">
        <f>IF(E46=AH53,AG53,IF(E46=AH54,AG54,IF(E46=AH55,AG55,IF(E46=AH56,AG56,IF(E46=AH57,AG57,IF(E46=AH58,AG58,AG59))))))</f>
        <v>10845</v>
      </c>
      <c r="M134">
        <v>9</v>
      </c>
      <c r="N134">
        <v>30</v>
      </c>
      <c r="Q134" t="s">
        <v>518</v>
      </c>
      <c r="S134" s="15"/>
      <c r="T134" s="15"/>
      <c r="U134" s="15"/>
      <c r="V134" s="15"/>
      <c r="W134" s="15"/>
      <c r="X134" s="451"/>
      <c r="Y134" s="450">
        <v>82</v>
      </c>
      <c r="Z134" s="12">
        <f t="shared" si="44"/>
        <v>56960</v>
      </c>
      <c r="AA134" s="12">
        <f t="shared" si="43"/>
        <v>58260</v>
      </c>
      <c r="AB134" s="12">
        <v>59560</v>
      </c>
      <c r="AC134" s="126">
        <v>82</v>
      </c>
      <c r="AD134" s="12">
        <f t="shared" si="46"/>
        <v>55660</v>
      </c>
      <c r="AE134" s="15"/>
      <c r="AJ134">
        <f>ROUNDDOWN((AJ131-AJ132*100000-AJ133*1000)/100,0)</f>
        <v>0</v>
      </c>
      <c r="AK134">
        <f>IF(AJ134=0,T(AJ134),VLOOKUP(AJ134,BE50:BF144,2,TRUE))</f>
      </c>
      <c r="AN134">
        <f>IF(AJ134=0,T(AJ134),IF(AND(AJ135=0,AJ134&lt;&gt;1)," HUNDREDS"," HUNDRED"))</f>
      </c>
      <c r="AO134" s="15"/>
      <c r="BE134" s="12">
        <v>82</v>
      </c>
      <c r="BF134" s="12" t="s">
        <v>294</v>
      </c>
      <c r="BH134" s="12">
        <f t="shared" si="45"/>
        <v>56960</v>
      </c>
      <c r="BI134">
        <v>82</v>
      </c>
      <c r="BJ134" s="111">
        <v>40830</v>
      </c>
      <c r="BK134" s="2">
        <v>39711</v>
      </c>
    </row>
    <row r="135" spans="5:63" ht="15" hidden="1">
      <c r="E135" s="374">
        <f>DATE(G29,F135,E29)</f>
        <v>37546</v>
      </c>
      <c r="F135">
        <f>IF(OR(F29=Q109,F29=Q110,F29=Q111,F29=Q112,F29=Q113,F29=Q114),IF(OR(F29=Q109,F29=Q110,F29=Q111),IF(F29=Q109,1,IF(F29=Q110,2,3)),IF(F29=Q112,4,IF(F29=Q113,5,6))),IF(OR(F29=Q115,F29=Q116,F29=Q117),IF(F29=Q115,7,IF(F29=Q116,8,9)),IF(F29=Q118,10,IF(F29=Q119,11,12))))</f>
        <v>10</v>
      </c>
      <c r="M135">
        <v>10</v>
      </c>
      <c r="N135">
        <v>31</v>
      </c>
      <c r="Q135" t="s">
        <v>519</v>
      </c>
      <c r="S135" s="15"/>
      <c r="T135" s="15"/>
      <c r="U135" s="15"/>
      <c r="V135" s="15"/>
      <c r="W135" s="15"/>
      <c r="X135" s="451"/>
      <c r="Y135" s="450">
        <v>83</v>
      </c>
      <c r="Z135" s="12">
        <f t="shared" si="44"/>
        <v>58260</v>
      </c>
      <c r="AA135" s="12">
        <f t="shared" si="43"/>
        <v>59560</v>
      </c>
      <c r="AB135" s="12">
        <v>60860</v>
      </c>
      <c r="AC135" s="126">
        <v>83</v>
      </c>
      <c r="AD135" s="12">
        <f t="shared" si="46"/>
        <v>56960</v>
      </c>
      <c r="AE135" s="15"/>
      <c r="AJ135">
        <f>AJ131-AJ132*100000-AJ133*1000-AJ134*100</f>
        <v>1</v>
      </c>
      <c r="AK135" t="str">
        <f>IF(AJ135=0,T(AJ135),VLOOKUP(AJ135,BE50:BF144,2,TRUE))</f>
        <v> ONE</v>
      </c>
      <c r="AN135">
        <f>IF(OR(AJ135=0,AND(AJ132=0,AJ133=0,AJ134=0)),T(AJ135)," AND")</f>
      </c>
      <c r="AO135" s="15"/>
      <c r="BE135" s="12">
        <v>83</v>
      </c>
      <c r="BF135" s="12" t="s">
        <v>295</v>
      </c>
      <c r="BH135" s="12">
        <f t="shared" si="45"/>
        <v>58260</v>
      </c>
      <c r="BI135">
        <v>83</v>
      </c>
      <c r="BJ135" s="111">
        <v>40831</v>
      </c>
      <c r="BK135" s="2">
        <v>39712</v>
      </c>
    </row>
    <row r="136" spans="5:63" ht="15" hidden="1">
      <c r="E136" s="375">
        <f>DATE(G30,F136,E30)+0.01</f>
        <v>40817.01</v>
      </c>
      <c r="F136">
        <f>IF(OR(F30=Q109,F30=Q110,F30=Q111,F30=Q112,F30=Q113,F30=Q114),IF(OR(F30=Q109,F30=Q110,F30=Q111),IF(F30=Q109,1,IF(F30=Q110,2,3)),IF(F30=Q112,4,IF(F30=Q113,5,6))),IF(OR(F30=Q115,F30=Q116,F30=Q117),IF(F30=Q115,7,IF(F30=Q116,8,9)),IF(F30=Q118,10,IF(F30=Q119,11,12))))</f>
        <v>9</v>
      </c>
      <c r="M136">
        <v>11</v>
      </c>
      <c r="N136">
        <v>30</v>
      </c>
      <c r="Q136" t="s">
        <v>524</v>
      </c>
      <c r="S136" s="15"/>
      <c r="T136" s="15"/>
      <c r="U136" s="15"/>
      <c r="V136" s="15"/>
      <c r="W136" s="15"/>
      <c r="X136" s="451"/>
      <c r="Y136" s="450">
        <v>84</v>
      </c>
      <c r="Z136" s="12">
        <f t="shared" si="44"/>
        <v>59560</v>
      </c>
      <c r="AA136" s="12">
        <f t="shared" si="43"/>
        <v>60860</v>
      </c>
      <c r="AB136" s="12">
        <v>60860</v>
      </c>
      <c r="AC136" s="126">
        <v>84</v>
      </c>
      <c r="AD136" s="12">
        <f t="shared" si="46"/>
        <v>58260</v>
      </c>
      <c r="AE136" s="15"/>
      <c r="AJ136" t="str">
        <f>IF(AJ131=0,"RUPEES ZERO ONLY",CONCATENATE(AM131,AK132,AN132,AK133,AN133,AK134,AN134,AN135,AK135,AO131))</f>
        <v> UNDER RUPEES : ONE ONLY</v>
      </c>
      <c r="AX136" s="2">
        <v>40210</v>
      </c>
      <c r="BE136" s="12">
        <v>84</v>
      </c>
      <c r="BF136" s="12" t="s">
        <v>296</v>
      </c>
      <c r="BH136" s="12">
        <f t="shared" si="45"/>
        <v>59560</v>
      </c>
      <c r="BI136">
        <v>84</v>
      </c>
      <c r="BJ136" s="111">
        <v>40832</v>
      </c>
      <c r="BK136" s="2">
        <v>39713</v>
      </c>
    </row>
    <row r="137" spans="5:63" ht="15" hidden="1">
      <c r="E137" s="378">
        <f>DATE(G39,F137,E39)+0.001</f>
        <v>40269.001</v>
      </c>
      <c r="F137">
        <f>IF(OR(F39=Q109,F39=Q110,F39=Q111,F39=Q112,F39=Q113,F39=Q114),IF(OR(F39=Q109,F39=Q110,F39=Q111),IF(F39=Q109,1,IF(F39=Q110,2,3)),IF(F39=Q112,4,IF(F39=Q113,5,6))),IF(OR(F39=Q115,F39=Q116,F39=Q117),IF(F39=Q115,7,IF(F39=Q116,8,9)),IF(F39=Q118,10,IF(F39=Q119,11,12))))</f>
        <v>4</v>
      </c>
      <c r="M137">
        <v>12</v>
      </c>
      <c r="N137">
        <v>31</v>
      </c>
      <c r="Q137" t="s">
        <v>533</v>
      </c>
      <c r="AD137" s="12">
        <f t="shared" si="46"/>
        <v>59560</v>
      </c>
      <c r="BE137" s="12">
        <v>85</v>
      </c>
      <c r="BF137" s="12" t="s">
        <v>297</v>
      </c>
      <c r="BJ137" s="111">
        <v>40833</v>
      </c>
      <c r="BK137" s="2">
        <v>39714</v>
      </c>
    </row>
    <row r="138" spans="5:63" ht="15" hidden="1">
      <c r="E138" s="378" t="e">
        <f>DATE(#REF!,F138,#REF!)+0.01</f>
        <v>#REF!</v>
      </c>
      <c r="F138" t="e">
        <f>IF(OR(#REF!=Q109,#REF!=Q110,#REF!=Q111,#REF!=Q112,#REF!=Q113,#REF!=Q114),IF(OR(#REF!=Q109,#REF!=Q110,#REF!=Q111),IF(#REF!=Q109,1,IF(#REF!=Q110,2,3)),IF(#REF!=Q112,4,IF(#REF!=Q113,5,6))),IF(OR(#REF!=Q115,#REF!=Q116,#REF!=Q117),IF(#REF!=Q115,7,IF(#REF!=Q116,8,9)),IF(#REF!=Q118,10,IF(#REF!=Q119,11,12))))</f>
        <v>#REF!</v>
      </c>
      <c r="Q138" s="318" t="s">
        <v>647</v>
      </c>
      <c r="S138" s="117"/>
      <c r="T138" s="111"/>
      <c r="U138" s="111"/>
      <c r="V138" s="111"/>
      <c r="W138" s="117"/>
      <c r="X138" s="117"/>
      <c r="Y138" s="117"/>
      <c r="Z138" s="117"/>
      <c r="AA138" s="117"/>
      <c r="AB138" s="117"/>
      <c r="AC138" s="117"/>
      <c r="AD138" s="117"/>
      <c r="AE138" s="117"/>
      <c r="AJ138" s="124">
        <f>'47-FRONT'!H57</f>
        <v>0</v>
      </c>
      <c r="AM138" t="s">
        <v>409</v>
      </c>
      <c r="AO138" s="15" t="s">
        <v>410</v>
      </c>
      <c r="BE138" s="12">
        <v>86</v>
      </c>
      <c r="BF138" s="12" t="s">
        <v>298</v>
      </c>
      <c r="BJ138" s="111">
        <v>40834</v>
      </c>
      <c r="BK138" s="2">
        <v>39715</v>
      </c>
    </row>
    <row r="139" spans="5:63" ht="15" hidden="1">
      <c r="E139" s="375">
        <f>DATE(G44,F139,E44)+0.01</f>
        <v>40628.01</v>
      </c>
      <c r="F139">
        <f>IF(OR(F44=Q109,F44=Q110,F44=Q111,F44=Q112,F44=Q113,F44=Q114),IF(OR(F44=Q109,F44=Q110,F44=Q111),IF(F44=Q109,1,IF(F44=Q110,2,3)),IF(F44=Q112,4,IF(F44=Q113,5,6))),IF(OR(F44=Q115,F44=Q116,F44=Q117),IF(F44=Q115,7,IF(F44=Q116,8,9)),IF(F44=Q118,10,IF(F44=Q119,11,12))))</f>
        <v>3</v>
      </c>
      <c r="S139" s="117"/>
      <c r="T139" s="111"/>
      <c r="U139" s="111"/>
      <c r="V139" s="111"/>
      <c r="W139" s="117"/>
      <c r="X139" s="117"/>
      <c r="Y139" s="117"/>
      <c r="Z139" s="117"/>
      <c r="AA139" s="117"/>
      <c r="AB139" s="111"/>
      <c r="AC139" s="117"/>
      <c r="AD139" s="117"/>
      <c r="AE139" s="117"/>
      <c r="AJ139">
        <f>ROUNDDOWN(AJ138/100000,0)</f>
        <v>0</v>
      </c>
      <c r="AK139">
        <f>IF(AJ139=0,T(AJ139),VLOOKUP(AJ139,BE53:BF151,2,TRUE))</f>
      </c>
      <c r="AN139">
        <f>IF(AJ139=0,T(AJ139),IF(AND(AJ140=0,AJ141=0,AJ142=0,AJ139&lt;&gt;1)," LAKHS"," LAKH"))</f>
      </c>
      <c r="AO139" s="15"/>
      <c r="BE139" s="12">
        <v>87</v>
      </c>
      <c r="BF139" s="12" t="s">
        <v>299</v>
      </c>
      <c r="BJ139" s="111">
        <v>40835</v>
      </c>
      <c r="BK139" s="2">
        <v>39716</v>
      </c>
    </row>
    <row r="140" spans="19:63" ht="12.75" hidden="1">
      <c r="S140" s="117"/>
      <c r="T140" s="111"/>
      <c r="U140" s="111"/>
      <c r="V140" s="111"/>
      <c r="W140" s="117"/>
      <c r="X140" s="117"/>
      <c r="Y140" s="117"/>
      <c r="Z140" s="117"/>
      <c r="AA140" s="117"/>
      <c r="AB140" s="111"/>
      <c r="AC140" s="117"/>
      <c r="AD140" s="117"/>
      <c r="AE140" s="117"/>
      <c r="AJ140">
        <f>ROUNDDOWN((AJ138-AJ139*100000)/1000,0)</f>
        <v>0</v>
      </c>
      <c r="AK140">
        <f>IF(AJ140=0,T(AJ140),VLOOKUP(AJ140,BE53:BF151,2,TRUE))</f>
      </c>
      <c r="AN140">
        <f>IF(AJ140=0,T(AJ140),IF(AND(AJ141=0,AJ142=0,AJ140&lt;&gt;1)," THOUSANDS"," THOUSAND"))</f>
      </c>
      <c r="AO140" s="15"/>
      <c r="BE140" s="12">
        <v>88</v>
      </c>
      <c r="BF140" s="12" t="s">
        <v>300</v>
      </c>
      <c r="BJ140" s="111">
        <v>40836</v>
      </c>
      <c r="BK140" s="2">
        <v>39717</v>
      </c>
    </row>
    <row r="141" spans="20:63" ht="12.75" hidden="1">
      <c r="T141" s="111"/>
      <c r="U141" s="111"/>
      <c r="V141" s="111"/>
      <c r="AJ141">
        <f>ROUNDDOWN((AJ138-AJ139*100000-AJ140*1000)/100,0)</f>
        <v>0</v>
      </c>
      <c r="AK141">
        <f>IF(AJ141=0,T(AJ141),VLOOKUP(AJ141,BE53:BF151,2,TRUE))</f>
      </c>
      <c r="AN141">
        <f>IF(AJ141=0,T(AJ141),IF(AND(AJ142=0,AJ141&lt;&gt;1)," HUNDREDS"," HUNDRED"))</f>
      </c>
      <c r="AO141" s="15"/>
      <c r="BE141" s="12">
        <v>89</v>
      </c>
      <c r="BF141" s="12" t="s">
        <v>301</v>
      </c>
      <c r="BJ141" s="111">
        <v>40837</v>
      </c>
      <c r="BK141" s="2">
        <v>39718</v>
      </c>
    </row>
    <row r="142" spans="15:63" ht="12.75" hidden="1">
      <c r="O142" s="2"/>
      <c r="T142" s="111"/>
      <c r="U142" s="111"/>
      <c r="V142" s="111"/>
      <c r="AJ142">
        <f>AJ138-AJ139*100000-AJ140*1000-AJ141*100</f>
        <v>0</v>
      </c>
      <c r="AK142">
        <f>IF(AJ142=0,T(AJ142),VLOOKUP(AJ142,BE53:BF151,2,TRUE))</f>
      </c>
      <c r="AN142">
        <f>IF(OR(AJ142=0,AND(AJ139=0,AJ140=0,AJ141=0)),T(AJ142)," AND")</f>
      </c>
      <c r="AO142" s="15"/>
      <c r="BE142" s="12">
        <v>90</v>
      </c>
      <c r="BF142" s="12" t="s">
        <v>412</v>
      </c>
      <c r="BJ142" s="111">
        <v>40838</v>
      </c>
      <c r="BK142" s="2">
        <v>39719</v>
      </c>
    </row>
    <row r="143" spans="5:63" ht="12.75" hidden="1">
      <c r="E143" s="2">
        <f>DATE(YEAR(BILL!D5),MONTH(BILL!D5),1)</f>
        <v>40210</v>
      </c>
      <c r="S143">
        <v>0</v>
      </c>
      <c r="T143" s="111">
        <f>E65</f>
        <v>0</v>
      </c>
      <c r="U143" s="111">
        <f>E66</f>
        <v>40628.01</v>
      </c>
      <c r="V143" s="111">
        <f>E67</f>
        <v>40628.01</v>
      </c>
      <c r="W143" s="117">
        <f>G65</f>
        <v>43390</v>
      </c>
      <c r="X143" s="117"/>
      <c r="Y143" s="117"/>
      <c r="AA143" s="117"/>
      <c r="AJ143" t="str">
        <f>IF(AJ138=0,"RUPEES ZERO ONLY",CONCATENATE(AM138,AK139,AN139,AK140,AN140,AK141,AN141,AN142,AK142,AO138))</f>
        <v>RUPEES ZERO ONLY</v>
      </c>
      <c r="BE143" s="12">
        <v>91</v>
      </c>
      <c r="BF143" s="12" t="s">
        <v>302</v>
      </c>
      <c r="BJ143" s="111">
        <v>40839</v>
      </c>
      <c r="BK143" s="2">
        <v>39720</v>
      </c>
    </row>
    <row r="144" spans="5:63" ht="12.75" hidden="1">
      <c r="E144" s="111">
        <f>DATE(IF(MONTH(E143=12),YEAR(E143)+1,YEAR(E143)),MONTH(E143)+1,1)</f>
        <v>40603</v>
      </c>
      <c r="S144">
        <v>1</v>
      </c>
      <c r="T144" s="111">
        <f>E73</f>
        <v>40452</v>
      </c>
      <c r="U144" s="111">
        <f>E74</f>
        <v>40817</v>
      </c>
      <c r="V144" s="111">
        <f>E75</f>
        <v>41183</v>
      </c>
      <c r="W144" s="117">
        <f>H73</f>
        <v>12550</v>
      </c>
      <c r="X144" s="117"/>
      <c r="Y144" s="117"/>
      <c r="AA144" s="117"/>
      <c r="BE144" s="12">
        <v>92</v>
      </c>
      <c r="BF144" s="12" t="s">
        <v>303</v>
      </c>
      <c r="BJ144" s="111">
        <v>40840</v>
      </c>
      <c r="BK144" s="2">
        <v>39721</v>
      </c>
    </row>
    <row r="145" spans="3:63" ht="12.75" hidden="1">
      <c r="C145" s="111"/>
      <c r="E145" s="111">
        <f aca="true" t="shared" si="47" ref="E145:E162">DATE(IF(MONTH(E144=12),YEAR(E144)=1,YEAR(E144)),MONTH(E144)+1,1)</f>
        <v>92</v>
      </c>
      <c r="S145">
        <v>9</v>
      </c>
      <c r="T145" s="111">
        <f>E78</f>
        <v>40628.01</v>
      </c>
      <c r="U145" s="111">
        <f>E79</f>
        <v>40210</v>
      </c>
      <c r="V145" s="111">
        <f>E80</f>
        <v>0</v>
      </c>
      <c r="W145" s="117">
        <f>K77</f>
        <v>0</v>
      </c>
      <c r="X145" s="117"/>
      <c r="Y145" s="117"/>
      <c r="AJ145" s="124">
        <f>'47-FRONT'!T48</f>
        <v>0</v>
      </c>
      <c r="AM145" t="s">
        <v>409</v>
      </c>
      <c r="AO145" s="15" t="s">
        <v>410</v>
      </c>
      <c r="BE145" s="12">
        <v>93</v>
      </c>
      <c r="BF145" s="12" t="s">
        <v>304</v>
      </c>
      <c r="BJ145" s="111">
        <v>40841</v>
      </c>
      <c r="BK145" s="2">
        <v>39722</v>
      </c>
    </row>
    <row r="146" spans="3:63" ht="12.75" hidden="1">
      <c r="C146" s="111"/>
      <c r="E146" s="111">
        <f t="shared" si="47"/>
        <v>122</v>
      </c>
      <c r="M146" s="117"/>
      <c r="T146" s="111"/>
      <c r="U146" s="111"/>
      <c r="V146" s="111"/>
      <c r="AJ146">
        <f>ROUNDDOWN(AJ145/100000,0)</f>
        <v>0</v>
      </c>
      <c r="AK146">
        <f>IF(AJ146=0,T(AJ146),VLOOKUP(AJ146,BE53:BF151,2,TRUE))</f>
      </c>
      <c r="AN146">
        <f>IF(AJ146=0,T(AJ146),IF(AND(AJ147=0,AJ148=0,AJ149=0,AJ146&lt;&gt;1)," LAKHS"," LAKH"))</f>
      </c>
      <c r="AO146" s="15"/>
      <c r="BE146" s="12">
        <v>94</v>
      </c>
      <c r="BF146" s="12" t="s">
        <v>305</v>
      </c>
      <c r="BJ146" s="111">
        <v>40842</v>
      </c>
      <c r="BK146" s="2">
        <v>39723</v>
      </c>
    </row>
    <row r="147" spans="3:63" ht="12.75" hidden="1">
      <c r="C147" s="111"/>
      <c r="E147" s="111">
        <f t="shared" si="47"/>
        <v>153</v>
      </c>
      <c r="T147" s="111"/>
      <c r="U147" s="111"/>
      <c r="V147" s="111"/>
      <c r="AB147">
        <f>MAX(D73,D77*(N82))</f>
        <v>0</v>
      </c>
      <c r="AJ147">
        <f>ROUNDDOWN((AJ145-AJ146*100000)/1000,0)</f>
        <v>0</v>
      </c>
      <c r="AK147">
        <f>IF(AJ147=0,T(AJ147),VLOOKUP(AJ147,BE53:BF151,2,TRUE))</f>
      </c>
      <c r="AN147">
        <f>IF(AJ147=0,T(AJ147),IF(AND(AJ148=0,AJ149=0,AJ147&lt;&gt;1)," THOUSANDS"," THOUSAND"))</f>
      </c>
      <c r="AO147" s="15"/>
      <c r="BE147" s="12">
        <v>95</v>
      </c>
      <c r="BF147" s="12" t="s">
        <v>306</v>
      </c>
      <c r="BJ147" s="111">
        <v>40843</v>
      </c>
      <c r="BK147" s="2">
        <v>39724</v>
      </c>
    </row>
    <row r="148" spans="3:63" ht="12.75" hidden="1">
      <c r="C148" s="111"/>
      <c r="E148" s="111">
        <f t="shared" si="47"/>
        <v>183</v>
      </c>
      <c r="T148" s="111"/>
      <c r="U148" s="111"/>
      <c r="V148" s="111"/>
      <c r="AB148">
        <v>0</v>
      </c>
      <c r="AJ148">
        <f>ROUNDDOWN((AJ145-AJ146*100000-AJ147*1000)/100,0)</f>
        <v>0</v>
      </c>
      <c r="AK148">
        <f>IF(AJ148=0,T(AJ148),VLOOKUP(AJ148,BE53:BF151,2,TRUE))</f>
      </c>
      <c r="AN148">
        <f>IF(AJ148=0,T(AJ148),IF(AND(AJ149=0,AJ148&lt;&gt;1)," HUNDREDS"," HUNDRED"))</f>
      </c>
      <c r="AO148" s="15"/>
      <c r="BE148" s="12">
        <v>96</v>
      </c>
      <c r="BF148" s="12" t="s">
        <v>307</v>
      </c>
      <c r="BJ148" s="111">
        <v>40844</v>
      </c>
      <c r="BK148" s="2">
        <v>39725</v>
      </c>
    </row>
    <row r="149" spans="5:63" ht="12.75" hidden="1">
      <c r="E149" s="111">
        <f t="shared" si="47"/>
        <v>214</v>
      </c>
      <c r="M149">
        <v>0</v>
      </c>
      <c r="N149" t="s">
        <v>572</v>
      </c>
      <c r="O149" s="2">
        <v>40210</v>
      </c>
      <c r="S149">
        <v>0</v>
      </c>
      <c r="T149" s="111">
        <f>E65</f>
        <v>0</v>
      </c>
      <c r="U149" s="111">
        <f>E66</f>
        <v>40628.01</v>
      </c>
      <c r="V149" s="111">
        <f>E67</f>
        <v>40628.01</v>
      </c>
      <c r="W149" s="117">
        <f>K65</f>
        <v>0</v>
      </c>
      <c r="X149" s="117">
        <f>K66</f>
        <v>0</v>
      </c>
      <c r="Y149" s="117">
        <f>K67</f>
        <v>0</v>
      </c>
      <c r="AA149" s="117"/>
      <c r="AB149">
        <v>1</v>
      </c>
      <c r="AC149" t="e">
        <f>IF(AND(E138+1461*2&gt;Q69,E138+1461*2&lt;=Q70),"S.G",IF(AND(E138+1461*4&gt;Q69,E138+1461*4&lt;=Q70),"S.P.P - I / S.A.P.P - I","S.P.P - II /  S.A.P.P - II"))</f>
        <v>#REF!</v>
      </c>
      <c r="AE149" s="111" t="str">
        <f>C73</f>
        <v>increment date</v>
      </c>
      <c r="AG149" t="e">
        <f>VLOOKUP(AE149,E72:I74,4,TRUE)</f>
        <v>#N/A</v>
      </c>
      <c r="AJ149">
        <f>AJ145-AJ146*100000-AJ147*1000-AJ148*100</f>
        <v>0</v>
      </c>
      <c r="AK149">
        <f>IF(AJ149=0,T(AJ149),VLOOKUP(AJ149,BE53:BF151,2,TRUE))</f>
      </c>
      <c r="AN149">
        <f>IF(OR(AJ149=0,AND(AJ146=0,AJ147=0,AJ148=0)),T(AJ149)," AND")</f>
      </c>
      <c r="AO149" s="15"/>
      <c r="BE149" s="12">
        <v>97</v>
      </c>
      <c r="BF149" s="12" t="s">
        <v>308</v>
      </c>
      <c r="BJ149" s="111">
        <v>40845</v>
      </c>
      <c r="BK149" s="2">
        <v>39726</v>
      </c>
    </row>
    <row r="150" spans="5:63" ht="12.75" hidden="1">
      <c r="E150" s="111">
        <f t="shared" si="47"/>
        <v>245</v>
      </c>
      <c r="M150">
        <v>1</v>
      </c>
      <c r="N150" t="s">
        <v>571</v>
      </c>
      <c r="O150" s="111" t="str">
        <f>C73</f>
        <v>increment date</v>
      </c>
      <c r="P150" t="s">
        <v>573</v>
      </c>
      <c r="S150">
        <v>1</v>
      </c>
      <c r="T150" s="111">
        <f>E73</f>
        <v>40452</v>
      </c>
      <c r="U150" s="111">
        <f>E74</f>
        <v>40817</v>
      </c>
      <c r="V150" s="111">
        <f>E75</f>
        <v>41183</v>
      </c>
      <c r="W150" s="117">
        <f>K72</f>
        <v>0</v>
      </c>
      <c r="X150" s="117" t="str">
        <f>K73</f>
        <v>AAS GRADE</v>
      </c>
      <c r="Y150" s="117">
        <f>K74</f>
        <v>0</v>
      </c>
      <c r="AA150" s="117"/>
      <c r="AB150">
        <v>9</v>
      </c>
      <c r="AC150" t="str">
        <f>IF(O142&lt;E139,"F.R.31(II)","F.R.22 a (1)")</f>
        <v>F.R.31(II)</v>
      </c>
      <c r="AD150" t="str">
        <f>IF(O142&lt;E139," ","F.R.22 B")</f>
        <v> </v>
      </c>
      <c r="AE150" s="111">
        <f>C78</f>
        <v>0</v>
      </c>
      <c r="AF150" s="111" t="e">
        <f>VLOOKUP(AE150+366,E66:E69,1,TRUE)</f>
        <v>#N/A</v>
      </c>
      <c r="AG150" t="e">
        <f>VLOOKUP(AE150,E77:M79,7,TRUE)</f>
        <v>#N/A</v>
      </c>
      <c r="AH150" t="e">
        <f>VLOOKUP(AG150,Z53:AB136,3,TRUE)</f>
        <v>#N/A</v>
      </c>
      <c r="AJ150" t="str">
        <f>IF(AJ145=0,"RUPEES ZERO ONLY",CONCATENATE(AM145,AK146,AN146,AK147,AN147,AK148,AN148,AN149,AK149,AO145))</f>
        <v>RUPEES ZERO ONLY</v>
      </c>
      <c r="BE150" s="12">
        <v>98</v>
      </c>
      <c r="BF150" s="12" t="s">
        <v>309</v>
      </c>
      <c r="BJ150" s="111">
        <v>40846</v>
      </c>
      <c r="BK150" s="2">
        <v>39727</v>
      </c>
    </row>
    <row r="151" spans="3:63" ht="12.75" hidden="1">
      <c r="C151" s="111"/>
      <c r="E151" s="111">
        <f t="shared" si="47"/>
        <v>275</v>
      </c>
      <c r="M151">
        <v>9</v>
      </c>
      <c r="N151" t="str">
        <f>CONCATENATE("He/She has got promotion to ",E45," post on")</f>
        <v>He/She has got promotion to H.M. post on</v>
      </c>
      <c r="O151" s="111">
        <f>C78</f>
        <v>0</v>
      </c>
      <c r="P151" t="str">
        <f>N151</f>
        <v>He/She has got promotion to H.M. post on</v>
      </c>
      <c r="S151">
        <v>9</v>
      </c>
      <c r="T151" s="111">
        <f>E84</f>
        <v>40817</v>
      </c>
      <c r="U151" s="111">
        <f>E85</f>
        <v>41183</v>
      </c>
      <c r="V151" s="111">
        <f>E86</f>
        <v>40628.01</v>
      </c>
      <c r="W151" s="117">
        <f>K83</f>
        <v>40452</v>
      </c>
      <c r="X151" s="117">
        <f>K84</f>
        <v>40817</v>
      </c>
      <c r="Y151" s="117">
        <f>K85</f>
        <v>41183</v>
      </c>
      <c r="AB151">
        <v>18</v>
      </c>
      <c r="AC151" t="s">
        <v>451</v>
      </c>
      <c r="AE151" s="111">
        <f>AE150</f>
        <v>0</v>
      </c>
      <c r="AG151" t="e">
        <f>VLOOKUP(AE151,E77:M79,7,TRUE)</f>
        <v>#N/A</v>
      </c>
      <c r="AJ151">
        <f>'PT SCHEDULE'!I30</f>
        <v>0</v>
      </c>
      <c r="AM151" t="s">
        <v>409</v>
      </c>
      <c r="AO151" s="15" t="s">
        <v>410</v>
      </c>
      <c r="BE151" s="12">
        <v>99</v>
      </c>
      <c r="BF151" s="12" t="s">
        <v>310</v>
      </c>
      <c r="BJ151" s="111">
        <v>40847</v>
      </c>
      <c r="BK151" s="2">
        <v>39728</v>
      </c>
    </row>
    <row r="152" spans="3:63" ht="12.75" hidden="1">
      <c r="C152" s="111"/>
      <c r="E152" s="111">
        <f t="shared" si="47"/>
        <v>306</v>
      </c>
      <c r="T152" s="111"/>
      <c r="U152" s="111"/>
      <c r="V152" s="111"/>
      <c r="AJ152">
        <f>ROUNDDOWN(AJ151/100000,0)</f>
        <v>0</v>
      </c>
      <c r="AK152">
        <f>IF(AJ152=0,T(AJ152),VLOOKUP(AJ152,BE53:BF151,2,TRUE))</f>
      </c>
      <c r="AN152">
        <f>IF(AJ152=0,T(AJ152),IF(AND(AJ153=0,AJ154=0,AJ155=0,AJ152&lt;&gt;1)," LAKHS"," LAKH"))</f>
      </c>
      <c r="AO152" s="15"/>
      <c r="BJ152" s="111">
        <v>40848</v>
      </c>
      <c r="BK152" s="2">
        <v>39729</v>
      </c>
    </row>
    <row r="153" spans="3:63" ht="12.75" hidden="1">
      <c r="C153" s="111"/>
      <c r="E153" s="111">
        <f t="shared" si="47"/>
        <v>336</v>
      </c>
      <c r="AJ153">
        <f>ROUNDDOWN((AJ151-AJ152*100000)/1000,0)</f>
        <v>0</v>
      </c>
      <c r="AK153">
        <f>IF(AJ153=0,T(AJ153),VLOOKUP(AJ153,BE53:BF151,2,TRUE))</f>
      </c>
      <c r="AN153">
        <f>IF(AJ153=0,T(AJ153),IF(AND(AJ154=0,AJ155=0,AJ153&lt;&gt;1)," THOUSANDS"," THOUSAND"))</f>
      </c>
      <c r="AO153" s="15"/>
      <c r="BJ153" s="111">
        <v>40849</v>
      </c>
      <c r="BK153" s="2">
        <v>39730</v>
      </c>
    </row>
    <row r="154" spans="3:63" ht="12.75" hidden="1">
      <c r="C154" s="111"/>
      <c r="E154" s="111">
        <f t="shared" si="47"/>
        <v>367</v>
      </c>
      <c r="T154" s="111"/>
      <c r="X154" s="111"/>
      <c r="Z154" s="111"/>
      <c r="AB154" s="111"/>
      <c r="AJ154">
        <f>ROUNDDOWN((AJ151-AJ152*100000-AJ153*1000)/100,0)</f>
        <v>0</v>
      </c>
      <c r="AK154">
        <f>IF(AJ154=0,T(AJ154),VLOOKUP(AJ154,BE53:BF151,2,TRUE))</f>
      </c>
      <c r="AN154">
        <f>IF(AJ154=0,T(AJ154),IF(AND(AJ155=0,AJ154&lt;&gt;1)," HUNDREDS"," HUNDRED"))</f>
      </c>
      <c r="AO154" s="15"/>
      <c r="BJ154" s="111">
        <v>40850</v>
      </c>
      <c r="BK154" s="2">
        <v>39731</v>
      </c>
    </row>
    <row r="155" spans="3:63" ht="12.75" hidden="1">
      <c r="C155" s="111"/>
      <c r="E155" s="111">
        <f t="shared" si="47"/>
        <v>32</v>
      </c>
      <c r="T155" s="111"/>
      <c r="X155" s="111"/>
      <c r="Z155" s="111"/>
      <c r="AB155" s="111"/>
      <c r="AJ155">
        <f>AJ151-AJ152*100000-AJ153*1000-AJ154*100</f>
        <v>0</v>
      </c>
      <c r="AK155">
        <f>IF(AJ155=0,T(AJ155),VLOOKUP(AJ155,BE53:BF151,2,TRUE))</f>
      </c>
      <c r="AN155">
        <f>IF(OR(AJ155=0,AND(AJ152=0,AJ153=0,AJ154=0)),T(AJ155)," AND")</f>
      </c>
      <c r="AO155" s="15"/>
      <c r="BJ155" s="111">
        <v>40851</v>
      </c>
      <c r="BK155" s="2">
        <v>39732</v>
      </c>
    </row>
    <row r="156" spans="3:63" ht="12.75" hidden="1">
      <c r="C156" s="111"/>
      <c r="E156" s="111">
        <f t="shared" si="47"/>
        <v>61</v>
      </c>
      <c r="T156" s="111"/>
      <c r="AJ156" t="str">
        <f>IF(AJ151=0,"RUPEES ZERO ONLY",CONCATENATE(AM151,AK152,AN152,AK153,AN153,AK154,AN154,AN155,AK155,AO151))</f>
        <v>RUPEES ZERO ONLY</v>
      </c>
      <c r="BJ156" s="111">
        <v>40852</v>
      </c>
      <c r="BK156" s="2">
        <v>39733</v>
      </c>
    </row>
    <row r="157" spans="3:63" ht="12.75" hidden="1">
      <c r="C157" s="111"/>
      <c r="E157" s="111">
        <f t="shared" si="47"/>
        <v>92</v>
      </c>
      <c r="F157" s="164"/>
      <c r="G157" s="164"/>
      <c r="H157" s="164"/>
      <c r="N157" s="2"/>
      <c r="S157" s="432"/>
      <c r="T157" s="127">
        <f>IF(U157&lt;=AM157,U157,AM157)</f>
        <v>40210</v>
      </c>
      <c r="U157" s="127">
        <v>40210</v>
      </c>
      <c r="V157" s="455">
        <f>IF(T157=C174," ",T157)</f>
        <v>40210</v>
      </c>
      <c r="W157" s="455">
        <f>IF(V157=C173," ",V157)</f>
        <v>40210</v>
      </c>
      <c r="X157" s="455">
        <f>IF(W157=C172," ",W157)</f>
        <v>40210</v>
      </c>
      <c r="Y157" s="455">
        <f>IF(X157=C171," ",X157)</f>
        <v>40210</v>
      </c>
      <c r="Z157" s="455">
        <f>IF(Y157=C170," ",Y157)</f>
        <v>40210</v>
      </c>
      <c r="AA157" s="455">
        <f>IF(Z157=C169," ",Z157)</f>
        <v>40210</v>
      </c>
      <c r="AB157" s="455">
        <f>IF(AA157=C168," ",AA157)</f>
        <v>40210</v>
      </c>
      <c r="AC157" s="455">
        <f>IF(AB157=C167," ",AB157)</f>
        <v>40210</v>
      </c>
      <c r="AD157" s="455">
        <f>IF(AC157=C166," ",AC157)</f>
        <v>40210</v>
      </c>
      <c r="AE157" s="455">
        <f>IF(AD157=C165," ",AD157)</f>
        <v>40210</v>
      </c>
      <c r="AF157" s="455">
        <f>IF(C164=AE157," ",AE157)</f>
        <v>40210</v>
      </c>
      <c r="AG157" s="455">
        <f>IF(C163=AF157," ",AF157)</f>
        <v>40210</v>
      </c>
      <c r="AH157" s="455">
        <f>IF(C162=AG157," ",AG157)</f>
        <v>40210</v>
      </c>
      <c r="AI157" s="455">
        <f>IF(AH157=C161," ",AH157)</f>
        <v>40210</v>
      </c>
      <c r="AJ157" s="455">
        <f>IF(AI157=C160," ",AI157)</f>
        <v>40210</v>
      </c>
      <c r="AK157" s="455">
        <f>IF(AJ157=C159," ",AJ157)</f>
        <v>40210</v>
      </c>
      <c r="AL157" s="455">
        <f>IF(AK157=C158," ",AK157)</f>
        <v>40210</v>
      </c>
      <c r="AM157" s="111">
        <f>E136+1</f>
        <v>40818.01</v>
      </c>
      <c r="AN157">
        <v>1</v>
      </c>
      <c r="AO157" t="s">
        <v>482</v>
      </c>
      <c r="AP157">
        <v>1972</v>
      </c>
      <c r="BJ157" s="111">
        <v>40853</v>
      </c>
      <c r="BK157" s="2">
        <v>39734</v>
      </c>
    </row>
    <row r="158" spans="3:63" ht="12.75" hidden="1">
      <c r="C158" s="111"/>
      <c r="E158" s="111">
        <f t="shared" si="47"/>
        <v>122</v>
      </c>
      <c r="F158" s="164"/>
      <c r="G158" s="164"/>
      <c r="H158" s="164"/>
      <c r="N158" s="2"/>
      <c r="S158" s="432"/>
      <c r="T158" s="127">
        <f aca="true" t="shared" si="48" ref="T158:T175">IF(U158&lt;=AM158,U158,AM158)</f>
        <v>40360</v>
      </c>
      <c r="U158" s="127">
        <v>40360</v>
      </c>
      <c r="V158" s="455">
        <f>IF(T158=C174," ",T158)</f>
        <v>40360</v>
      </c>
      <c r="W158" s="455">
        <f>IF(V158=C173," ",V158)</f>
        <v>40360</v>
      </c>
      <c r="X158" s="455">
        <f>IF(W158=C172," ",W158)</f>
        <v>40360</v>
      </c>
      <c r="Y158" s="455">
        <f>IF(X158=C171," ",X158)</f>
        <v>40360</v>
      </c>
      <c r="Z158" s="455">
        <f>IF(Y158=C170," ",Y158)</f>
        <v>40360</v>
      </c>
      <c r="AA158" s="455">
        <f>IF(Z158=C169," ",Z158)</f>
        <v>40360</v>
      </c>
      <c r="AB158" s="455">
        <f>IF(AA158=C168," ",AA158)</f>
        <v>40360</v>
      </c>
      <c r="AC158" s="455">
        <f>IF(AB158=C167," ",AB158)</f>
        <v>40360</v>
      </c>
      <c r="AD158" s="455">
        <f>IF(AC158=C166," ",AC158)</f>
        <v>40360</v>
      </c>
      <c r="AE158" s="455">
        <f>IF(AD158=C165," ",AD158)</f>
        <v>40360</v>
      </c>
      <c r="AF158" s="455">
        <f>IF(C164=AE158," ",AE158)</f>
        <v>40360</v>
      </c>
      <c r="AG158" s="455">
        <f>IF(C163=AF158," ",AF158)</f>
        <v>40360</v>
      </c>
      <c r="AH158" s="455">
        <f>IF(C162=AG158," ",AG158)</f>
        <v>40360</v>
      </c>
      <c r="AI158" s="455">
        <f>IF(AH158=C161," ",AH158)</f>
        <v>40360</v>
      </c>
      <c r="AJ158" s="455">
        <f>IF(AI158=C160," ",AI158)</f>
        <v>40360</v>
      </c>
      <c r="AK158" s="455">
        <f>IF(AJ158=C159," ",AJ158)</f>
        <v>40360</v>
      </c>
      <c r="AL158" s="455">
        <f>IF(AK158=C158," ",AK158)</f>
        <v>40360</v>
      </c>
      <c r="AM158" s="111">
        <f>AM157</f>
        <v>40818.01</v>
      </c>
      <c r="AN158">
        <v>2</v>
      </c>
      <c r="AO158" t="s">
        <v>493</v>
      </c>
      <c r="AP158">
        <v>1973</v>
      </c>
      <c r="BJ158" s="111">
        <v>40854</v>
      </c>
      <c r="BK158" s="2">
        <v>39735</v>
      </c>
    </row>
    <row r="159" spans="3:63" ht="12.75" hidden="1">
      <c r="C159" s="111"/>
      <c r="E159" s="111">
        <f t="shared" si="47"/>
        <v>153</v>
      </c>
      <c r="F159" s="164"/>
      <c r="G159" s="164"/>
      <c r="H159" s="164"/>
      <c r="N159" s="2"/>
      <c r="Q159" s="111"/>
      <c r="S159" s="432"/>
      <c r="T159" s="127">
        <f t="shared" si="48"/>
        <v>40544</v>
      </c>
      <c r="U159" s="127">
        <v>40544</v>
      </c>
      <c r="V159" s="455">
        <f>IF(T159=C174," ",T159)</f>
        <v>40544</v>
      </c>
      <c r="W159" s="455">
        <f>IF(V159=C173," ",V159)</f>
        <v>40544</v>
      </c>
      <c r="X159" s="455">
        <f>IF(W159=C172," ",W159)</f>
        <v>40544</v>
      </c>
      <c r="Y159" s="455">
        <f>IF(X159=C171," ",X159)</f>
        <v>40544</v>
      </c>
      <c r="Z159" s="455">
        <f>IF(Y159=C170," ",Y159)</f>
        <v>40544</v>
      </c>
      <c r="AA159" s="455">
        <f>IF(Z159=C169," ",Z159)</f>
        <v>40544</v>
      </c>
      <c r="AB159" s="455">
        <f>IF(AA159=C168," ",AA159)</f>
        <v>40544</v>
      </c>
      <c r="AC159" s="455">
        <f>IF(AB159=C167," ",AB159)</f>
        <v>40544</v>
      </c>
      <c r="AD159" s="455">
        <f>IF(AC159=C166," ",AC159)</f>
        <v>40544</v>
      </c>
      <c r="AE159" s="455">
        <f>IF(AD159=C165," ",AD159)</f>
        <v>40544</v>
      </c>
      <c r="AF159" s="455">
        <f>IF(C164=AE159," ",AE159)</f>
        <v>40544</v>
      </c>
      <c r="AG159" s="455">
        <f>IF(C163=AF159," ",AF159)</f>
        <v>40544</v>
      </c>
      <c r="AH159" s="455">
        <f>IF(C162=AG159," ",AG159)</f>
        <v>40544</v>
      </c>
      <c r="AI159" s="455">
        <f>IF(AH159=C161," ",AH159)</f>
        <v>40544</v>
      </c>
      <c r="AJ159" s="455">
        <f>IF(AI159=C160," ",AI159)</f>
        <v>40544</v>
      </c>
      <c r="AK159" s="455">
        <f>IF(AJ159=C159," ",AJ159)</f>
        <v>40544</v>
      </c>
      <c r="AL159" s="455">
        <f>IF(AK159=C158," ",AK159)</f>
        <v>40544</v>
      </c>
      <c r="AM159" s="111">
        <f aca="true" t="shared" si="49" ref="AM159:AM175">AM158</f>
        <v>40818.01</v>
      </c>
      <c r="AN159">
        <v>3</v>
      </c>
      <c r="AO159" t="s">
        <v>483</v>
      </c>
      <c r="AP159">
        <v>1974</v>
      </c>
      <c r="BJ159" s="111">
        <v>40855</v>
      </c>
      <c r="BK159" s="2">
        <v>39736</v>
      </c>
    </row>
    <row r="160" spans="3:63" ht="12.75" hidden="1">
      <c r="C160" s="111"/>
      <c r="E160" s="111">
        <f t="shared" si="47"/>
        <v>183</v>
      </c>
      <c r="F160" s="164"/>
      <c r="G160" s="164"/>
      <c r="H160" s="164"/>
      <c r="Q160" s="111"/>
      <c r="S160" s="432"/>
      <c r="T160" s="127">
        <f t="shared" si="48"/>
        <v>40628.01</v>
      </c>
      <c r="U160" s="127">
        <f>E66</f>
        <v>40628.01</v>
      </c>
      <c r="V160" s="455">
        <f>IF(T160=C174," ",T160)</f>
        <v>40628.01</v>
      </c>
      <c r="W160" s="455">
        <f>IF(V160=C173," ",V160)</f>
        <v>40628.01</v>
      </c>
      <c r="X160" s="455">
        <f>IF(W160=C172," ",W160)</f>
        <v>40628.01</v>
      </c>
      <c r="Y160" s="455">
        <f>IF(X160=C171," ",X160)</f>
        <v>40628.01</v>
      </c>
      <c r="Z160" s="455">
        <f>IF(Y160=C170," ",Y160)</f>
        <v>40628.01</v>
      </c>
      <c r="AA160" s="455">
        <f>IF(Z160=C169," ",Z160)</f>
        <v>40628.01</v>
      </c>
      <c r="AB160" s="455">
        <f>IF(AA160=C168," ",AA160)</f>
        <v>40628.01</v>
      </c>
      <c r="AC160" s="455">
        <f>IF(AB160=C167," ",AB160)</f>
        <v>40628.01</v>
      </c>
      <c r="AD160" s="455">
        <f>IF(AC160=C166," ",AC160)</f>
        <v>40628.01</v>
      </c>
      <c r="AE160" s="455">
        <f>IF(AD160=C165," ",AD160)</f>
        <v>40628.01</v>
      </c>
      <c r="AF160" s="455">
        <f>IF(C164=AE160," ",AE160)</f>
        <v>40628.01</v>
      </c>
      <c r="AG160" s="455">
        <f>IF(C163=AF160," ",AF160)</f>
        <v>40628.01</v>
      </c>
      <c r="AH160" s="455">
        <f>IF(C162=AG160," ",AG160)</f>
        <v>40628.01</v>
      </c>
      <c r="AI160" s="455">
        <f>IF(AH160=C161," ",AH160)</f>
        <v>40628.01</v>
      </c>
      <c r="AJ160" s="455">
        <f>IF(AI160=C160," ",AI160)</f>
        <v>40628.01</v>
      </c>
      <c r="AK160" s="455">
        <f>IF(AJ160=C159," ",AJ160)</f>
        <v>40628.01</v>
      </c>
      <c r="AL160" s="455">
        <f>IF(AK160=C158," ",AK160)</f>
        <v>40628.01</v>
      </c>
      <c r="AM160" s="111">
        <f t="shared" si="49"/>
        <v>40818.01</v>
      </c>
      <c r="AN160">
        <v>4</v>
      </c>
      <c r="AO160" t="s">
        <v>484</v>
      </c>
      <c r="AP160">
        <v>1975</v>
      </c>
      <c r="BJ160" s="111">
        <v>40856</v>
      </c>
      <c r="BK160" s="2">
        <v>39737</v>
      </c>
    </row>
    <row r="161" spans="3:63" ht="12.75" hidden="1">
      <c r="C161" s="111"/>
      <c r="E161" s="111">
        <f t="shared" si="47"/>
        <v>214</v>
      </c>
      <c r="F161" s="164"/>
      <c r="G161" s="164"/>
      <c r="H161" s="164"/>
      <c r="Q161" s="111"/>
      <c r="S161" s="432"/>
      <c r="T161" s="127">
        <f t="shared" si="48"/>
        <v>40818.01</v>
      </c>
      <c r="U161" s="127">
        <f>E136+1</f>
        <v>40818.01</v>
      </c>
      <c r="V161" s="455">
        <f>IF(T161=C174," ",T161)</f>
        <v>40818.01</v>
      </c>
      <c r="W161" s="455">
        <f>IF(V161=C173," ",V161)</f>
        <v>40818.01</v>
      </c>
      <c r="X161" s="455">
        <f>IF(W161=C172," ",W161)</f>
        <v>40818.01</v>
      </c>
      <c r="Y161" s="455">
        <f>IF(X161=C171," ",X161)</f>
        <v>40818.01</v>
      </c>
      <c r="Z161" s="455">
        <f>IF(Y161=C170," ",Y161)</f>
        <v>40818.01</v>
      </c>
      <c r="AA161" s="455">
        <f>IF(Z161=C169," ",Z161)</f>
        <v>40818.01</v>
      </c>
      <c r="AB161" s="455">
        <f>IF(AA161=C168," ",AA161)</f>
        <v>40818.01</v>
      </c>
      <c r="AC161" s="455">
        <f>IF(AB161=C167," ",AB161)</f>
        <v>40818.01</v>
      </c>
      <c r="AD161" s="455">
        <f>IF(AC161=C166," ",AC161)</f>
        <v>40818.01</v>
      </c>
      <c r="AE161" s="455">
        <f>IF(AD161=C165," ",AD161)</f>
        <v>40818.01</v>
      </c>
      <c r="AF161" s="455">
        <f>IF(C164=AE161," ",AE161)</f>
        <v>40818.01</v>
      </c>
      <c r="AG161" s="455">
        <f>IF(C163=AF161," ",AF161)</f>
        <v>40818.01</v>
      </c>
      <c r="AH161" s="455">
        <f>IF(C162=AG161," ",AG161)</f>
        <v>40818.01</v>
      </c>
      <c r="AI161" s="455">
        <f>IF(AH161=C161," ",AH161)</f>
        <v>40818.01</v>
      </c>
      <c r="AJ161" s="455">
        <f>IF(AI161=C160," ",AI161)</f>
        <v>40818.01</v>
      </c>
      <c r="AK161" s="455">
        <f>IF(AJ161=C159," ",AJ161)</f>
        <v>40818.01</v>
      </c>
      <c r="AL161" s="455">
        <f>IF(AK161=C158," ",AK161)</f>
        <v>40818.01</v>
      </c>
      <c r="AM161" s="111">
        <f t="shared" si="49"/>
        <v>40818.01</v>
      </c>
      <c r="AN161">
        <v>5</v>
      </c>
      <c r="AO161" t="s">
        <v>485</v>
      </c>
      <c r="AP161">
        <v>1976</v>
      </c>
      <c r="BJ161" s="111">
        <v>40857</v>
      </c>
      <c r="BK161" s="2">
        <v>39738</v>
      </c>
    </row>
    <row r="162" spans="3:63" ht="12.75" hidden="1">
      <c r="C162" s="111"/>
      <c r="E162" s="111">
        <f t="shared" si="47"/>
        <v>245</v>
      </c>
      <c r="F162" s="164"/>
      <c r="G162" s="164"/>
      <c r="H162" s="164"/>
      <c r="Q162" s="111"/>
      <c r="S162" s="432"/>
      <c r="T162" s="127">
        <f t="shared" si="48"/>
        <v>40818.01</v>
      </c>
      <c r="U162" s="127">
        <f>E63</f>
        <v>41929</v>
      </c>
      <c r="V162" s="455">
        <f>IF(T162=C174," ",T162)</f>
        <v>40818.01</v>
      </c>
      <c r="W162" s="455">
        <f>IF(V162=C173," ",V162)</f>
        <v>40818.01</v>
      </c>
      <c r="X162" s="455">
        <f>IF(W162=C172," ",W162)</f>
        <v>40818.01</v>
      </c>
      <c r="Y162" s="455">
        <f>IF(X162=C171," ",X162)</f>
        <v>40818.01</v>
      </c>
      <c r="Z162" s="455">
        <f>IF(Y162=C170," ",Y162)</f>
        <v>40818.01</v>
      </c>
      <c r="AA162" s="455">
        <f>IF(Z162=C169," ",Z162)</f>
        <v>40818.01</v>
      </c>
      <c r="AB162" s="455">
        <f>IF(AA162=C168," ",AA162)</f>
        <v>40818.01</v>
      </c>
      <c r="AC162" s="455">
        <f>IF(AB162=C167," ",AB162)</f>
        <v>40818.01</v>
      </c>
      <c r="AD162" s="455">
        <f>IF(AC162=C166," ",AC162)</f>
        <v>40818.01</v>
      </c>
      <c r="AE162" s="455">
        <f>IF(AD162=C165," ",AD162)</f>
        <v>40818.01</v>
      </c>
      <c r="AF162" s="455">
        <f>IF(C164=AE162," ",AE162)</f>
        <v>40818.01</v>
      </c>
      <c r="AG162" s="455">
        <f>IF(C163=AF162," ",AF162)</f>
        <v>40818.01</v>
      </c>
      <c r="AH162" s="455">
        <f>IF(C162=AG162," ",AG162)</f>
        <v>40818.01</v>
      </c>
      <c r="AI162" s="455">
        <f>IF(AH162=C161," ",AH162)</f>
        <v>40818.01</v>
      </c>
      <c r="AJ162" s="455">
        <f>IF(AI162=C160," ",AI162)</f>
        <v>40818.01</v>
      </c>
      <c r="AK162" s="455">
        <f>IF(AJ162=C159," ",AJ162)</f>
        <v>40818.01</v>
      </c>
      <c r="AL162" s="455">
        <f>IF(AK162=C158," ",AK162)</f>
        <v>40818.01</v>
      </c>
      <c r="AM162" s="111">
        <f t="shared" si="49"/>
        <v>40818.01</v>
      </c>
      <c r="AN162">
        <v>6</v>
      </c>
      <c r="AO162" t="s">
        <v>486</v>
      </c>
      <c r="AP162">
        <v>1977</v>
      </c>
      <c r="BJ162" s="111">
        <v>40858</v>
      </c>
      <c r="BK162" s="2">
        <v>39739</v>
      </c>
    </row>
    <row r="163" spans="3:63" ht="12.75" hidden="1">
      <c r="C163" s="111"/>
      <c r="F163" s="164"/>
      <c r="G163" s="164"/>
      <c r="H163" s="164"/>
      <c r="Q163" s="111"/>
      <c r="S163" s="432"/>
      <c r="T163" s="127">
        <f t="shared" si="48"/>
        <v>40725</v>
      </c>
      <c r="U163" s="127">
        <v>40725</v>
      </c>
      <c r="V163" s="455">
        <f>IF(T163=C174," ",T163)</f>
        <v>40725</v>
      </c>
      <c r="W163" s="455">
        <f>IF(V163=C173," ",V163)</f>
        <v>40725</v>
      </c>
      <c r="X163" s="455">
        <f>IF(W163=C172," ",W163)</f>
        <v>40725</v>
      </c>
      <c r="Y163" s="455">
        <f>IF(X163=C171," ",X163)</f>
        <v>40725</v>
      </c>
      <c r="Z163" s="455">
        <f>IF(Y163=C170," ",Y163)</f>
        <v>40725</v>
      </c>
      <c r="AA163" s="455">
        <f>IF(Z163=C169," ",Z163)</f>
        <v>40725</v>
      </c>
      <c r="AB163" s="455">
        <f>IF(AA163=C168," ",AA163)</f>
        <v>40725</v>
      </c>
      <c r="AC163" s="455">
        <f>IF(AB163=C167," ",AB163)</f>
        <v>40725</v>
      </c>
      <c r="AD163" s="455">
        <f>IF(AC163=C166," ",AC163)</f>
        <v>40725</v>
      </c>
      <c r="AE163" s="455">
        <f>IF(AD163=C165," ",AD163)</f>
        <v>40725</v>
      </c>
      <c r="AF163" s="455">
        <f>IF(C164=AE163," ",AE163)</f>
        <v>40725</v>
      </c>
      <c r="AG163" s="455">
        <f>IF(C163=AF163," ",AF163)</f>
        <v>40725</v>
      </c>
      <c r="AH163" s="455">
        <f>IF(C162=AG163," ",AG163)</f>
        <v>40725</v>
      </c>
      <c r="AI163" s="455">
        <f>IF(AH163=C161," ",AH163)</f>
        <v>40725</v>
      </c>
      <c r="AJ163" s="455">
        <f>IF(AI163=C160," ",AI163)</f>
        <v>40725</v>
      </c>
      <c r="AK163" s="455">
        <f>IF(AJ163=C159," ",AJ163)</f>
        <v>40725</v>
      </c>
      <c r="AL163" s="455">
        <f>IF(AK163=C158," ",AK163)</f>
        <v>40725</v>
      </c>
      <c r="AM163" s="111">
        <f t="shared" si="49"/>
        <v>40818.01</v>
      </c>
      <c r="AN163">
        <v>7</v>
      </c>
      <c r="AO163" t="s">
        <v>487</v>
      </c>
      <c r="AP163">
        <v>1978</v>
      </c>
      <c r="BJ163" s="111">
        <v>40859</v>
      </c>
      <c r="BK163" s="2">
        <v>39740</v>
      </c>
    </row>
    <row r="164" spans="3:127" ht="12.75" hidden="1">
      <c r="C164" s="111"/>
      <c r="F164" s="164"/>
      <c r="G164" s="164"/>
      <c r="H164" s="164"/>
      <c r="Q164" s="111"/>
      <c r="S164" s="432"/>
      <c r="T164" s="127">
        <f t="shared" si="48"/>
        <v>40818.01</v>
      </c>
      <c r="U164" s="13">
        <v>40909</v>
      </c>
      <c r="V164" s="455">
        <f>IF(T164=C174," ",T164)</f>
        <v>40818.01</v>
      </c>
      <c r="W164" s="455">
        <f>IF(V164=C173," ",V164)</f>
        <v>40818.01</v>
      </c>
      <c r="X164" s="455">
        <f>IF(W164=C172," ",W164)</f>
        <v>40818.01</v>
      </c>
      <c r="Y164" s="455">
        <f>IF(X164=C171," ",X164)</f>
        <v>40818.01</v>
      </c>
      <c r="Z164" s="455">
        <f>IF(Y164=C170," ",Y164)</f>
        <v>40818.01</v>
      </c>
      <c r="AA164" s="455">
        <f>IF(Z164=C169," ",Z164)</f>
        <v>40818.01</v>
      </c>
      <c r="AB164" s="455">
        <f>IF(AA164=C168," ",AA164)</f>
        <v>40818.01</v>
      </c>
      <c r="AC164" s="455">
        <f>IF(AB164=C167," ",AB164)</f>
        <v>40818.01</v>
      </c>
      <c r="AD164" s="455">
        <f>IF(AC164=C166," ",AC164)</f>
        <v>40818.01</v>
      </c>
      <c r="AE164" s="455">
        <f>IF(AD164=C165," ",AD164)</f>
        <v>40818.01</v>
      </c>
      <c r="AF164" s="455">
        <f>IF(C164=AE164," ",AE164)</f>
        <v>40818.01</v>
      </c>
      <c r="AG164" s="455">
        <f>IF(C163=AF164," ",AF164)</f>
        <v>40818.01</v>
      </c>
      <c r="AH164" s="455">
        <f>IF(C162=AG164," ",AG164)</f>
        <v>40818.01</v>
      </c>
      <c r="AI164" s="455">
        <f>IF(AH164=C161," ",AH164)</f>
        <v>40818.01</v>
      </c>
      <c r="AJ164" s="455">
        <f>IF(AI164=C160," ",AI164)</f>
        <v>40818.01</v>
      </c>
      <c r="AK164" s="455">
        <f>IF(AJ164=C159," ",AJ164)</f>
        <v>40818.01</v>
      </c>
      <c r="AL164" s="455">
        <f>IF(AK164=C158," ",AK164)</f>
        <v>40818.01</v>
      </c>
      <c r="AM164" s="111">
        <f t="shared" si="49"/>
        <v>40818.01</v>
      </c>
      <c r="AN164">
        <v>8</v>
      </c>
      <c r="AO164" t="s">
        <v>488</v>
      </c>
      <c r="AP164">
        <v>1979</v>
      </c>
      <c r="BA164" s="127"/>
      <c r="BB164" s="127"/>
      <c r="BC164" s="127"/>
      <c r="BD164" s="127"/>
      <c r="BE164" s="127">
        <v>170</v>
      </c>
      <c r="BF164" s="127">
        <v>171</v>
      </c>
      <c r="BG164" s="127">
        <v>172</v>
      </c>
      <c r="BH164" s="127">
        <v>173</v>
      </c>
      <c r="BI164" s="127"/>
      <c r="BJ164" s="111">
        <v>40860</v>
      </c>
      <c r="BK164" s="2">
        <v>39741</v>
      </c>
      <c r="BL164" s="127">
        <v>177</v>
      </c>
      <c r="BM164" s="127">
        <v>178</v>
      </c>
      <c r="BN164" s="127">
        <v>179</v>
      </c>
      <c r="BO164" s="127">
        <v>180</v>
      </c>
      <c r="BP164" s="127">
        <v>181</v>
      </c>
      <c r="BQ164" s="127">
        <v>36699</v>
      </c>
      <c r="BR164" s="127">
        <v>36700</v>
      </c>
      <c r="BS164" s="127">
        <v>36701</v>
      </c>
      <c r="BT164" s="127">
        <v>36702</v>
      </c>
      <c r="BU164" s="127">
        <v>36703</v>
      </c>
      <c r="BV164" s="127">
        <v>36704</v>
      </c>
      <c r="BW164" s="127">
        <v>36705</v>
      </c>
      <c r="BX164" s="127">
        <v>36706</v>
      </c>
      <c r="BY164" s="127">
        <v>36707</v>
      </c>
      <c r="BZ164" s="127">
        <v>36708</v>
      </c>
      <c r="CA164" s="127">
        <v>36709</v>
      </c>
      <c r="CB164" s="127">
        <v>36710</v>
      </c>
      <c r="CC164" s="127">
        <v>36711</v>
      </c>
      <c r="CD164" s="127">
        <v>36712</v>
      </c>
      <c r="CE164" s="127">
        <v>36713</v>
      </c>
      <c r="CF164" s="127">
        <v>36714</v>
      </c>
      <c r="CG164" s="127">
        <v>36715</v>
      </c>
      <c r="CH164" s="127">
        <v>36716</v>
      </c>
      <c r="CI164" s="127">
        <v>36717</v>
      </c>
      <c r="CJ164" s="127">
        <v>36718</v>
      </c>
      <c r="CK164" s="127">
        <v>36719</v>
      </c>
      <c r="CL164" s="127">
        <v>36720</v>
      </c>
      <c r="CM164" s="127">
        <v>36721</v>
      </c>
      <c r="CN164" s="127">
        <v>36722</v>
      </c>
      <c r="CO164" s="127">
        <v>36723</v>
      </c>
      <c r="CP164" s="127">
        <v>36724</v>
      </c>
      <c r="CQ164" s="127">
        <v>36725</v>
      </c>
      <c r="CR164" s="127">
        <v>170</v>
      </c>
      <c r="CS164" s="127">
        <v>171</v>
      </c>
      <c r="CT164" s="127">
        <v>172</v>
      </c>
      <c r="CU164" s="127">
        <v>173</v>
      </c>
      <c r="CV164" s="127">
        <v>174</v>
      </c>
      <c r="CW164" s="127">
        <v>175</v>
      </c>
      <c r="CX164" s="127">
        <v>176</v>
      </c>
      <c r="CY164" s="127">
        <v>177</v>
      </c>
      <c r="CZ164" s="127">
        <v>178</v>
      </c>
      <c r="DA164" s="127">
        <v>179</v>
      </c>
      <c r="DB164" s="127">
        <v>180</v>
      </c>
      <c r="DC164" s="127">
        <v>181</v>
      </c>
      <c r="DD164" s="127">
        <v>182</v>
      </c>
      <c r="DE164" s="127">
        <v>183</v>
      </c>
      <c r="DF164" s="127">
        <v>184</v>
      </c>
      <c r="DG164" s="127">
        <v>185</v>
      </c>
      <c r="DH164" s="127">
        <v>186</v>
      </c>
      <c r="DI164" s="127">
        <v>187</v>
      </c>
      <c r="DJ164" s="127">
        <v>188</v>
      </c>
      <c r="DK164" s="127">
        <v>189</v>
      </c>
      <c r="DL164" s="127">
        <v>190</v>
      </c>
      <c r="DM164" s="127">
        <v>191</v>
      </c>
      <c r="DN164" s="127">
        <v>192</v>
      </c>
      <c r="DO164" s="127">
        <v>193</v>
      </c>
      <c r="DP164" s="127">
        <v>194</v>
      </c>
      <c r="DQ164" s="127">
        <v>195</v>
      </c>
      <c r="DR164" s="127">
        <v>196</v>
      </c>
      <c r="DS164" s="127">
        <v>197</v>
      </c>
      <c r="DT164" s="127">
        <v>198</v>
      </c>
      <c r="DU164" s="127">
        <v>199</v>
      </c>
      <c r="DV164" s="127">
        <v>200</v>
      </c>
      <c r="DW164" s="127"/>
    </row>
    <row r="165" spans="3:127" ht="12.75" hidden="1">
      <c r="C165" s="111"/>
      <c r="F165" s="164"/>
      <c r="G165" s="164"/>
      <c r="H165" s="164"/>
      <c r="Q165" s="111"/>
      <c r="S165" s="432"/>
      <c r="T165" s="127">
        <f t="shared" si="48"/>
        <v>40818.01</v>
      </c>
      <c r="U165" s="13">
        <v>41091</v>
      </c>
      <c r="V165" s="455">
        <f>IF(T165=C174," ",T165)</f>
        <v>40818.01</v>
      </c>
      <c r="W165" s="455">
        <f>IF(V165=C173," ",V165)</f>
        <v>40818.01</v>
      </c>
      <c r="X165" s="455">
        <f>IF(W165=C172," ",W165)</f>
        <v>40818.01</v>
      </c>
      <c r="Y165" s="455">
        <f>IF(X165=C171," ",X165)</f>
        <v>40818.01</v>
      </c>
      <c r="Z165" s="455">
        <f>IF(Y165=C170," ",Y165)</f>
        <v>40818.01</v>
      </c>
      <c r="AA165" s="455">
        <f>IF(Z165=C169," ",Z165)</f>
        <v>40818.01</v>
      </c>
      <c r="AB165" s="455">
        <f>IF(AA165=C168," ",AA165)</f>
        <v>40818.01</v>
      </c>
      <c r="AC165" s="455">
        <f>IF(AB165=C167," ",AB165)</f>
        <v>40818.01</v>
      </c>
      <c r="AD165" s="455">
        <f>IF(AC165=C166," ",AC165)</f>
        <v>40818.01</v>
      </c>
      <c r="AE165" s="455">
        <f>IF(AD165=C165," ",AD165)</f>
        <v>40818.01</v>
      </c>
      <c r="AF165" s="455">
        <f>IF(C164=AE165," ",AE165)</f>
        <v>40818.01</v>
      </c>
      <c r="AG165" s="455">
        <f>IF(C163=AF165," ",AF165)</f>
        <v>40818.01</v>
      </c>
      <c r="AH165" s="455">
        <f>IF(C162=AG165," ",AG165)</f>
        <v>40818.01</v>
      </c>
      <c r="AI165" s="455">
        <f>IF(AH165=C161," ",AH165)</f>
        <v>40818.01</v>
      </c>
      <c r="AJ165" s="455">
        <f>IF(AI165=C160," ",AI165)</f>
        <v>40818.01</v>
      </c>
      <c r="AK165" s="455">
        <f>IF(AJ165=C159," ",AJ165)</f>
        <v>40818.01</v>
      </c>
      <c r="AL165" s="455">
        <f>IF(AK165=C158," ",AK165)</f>
        <v>40818.01</v>
      </c>
      <c r="AM165" s="111">
        <f t="shared" si="49"/>
        <v>40818.01</v>
      </c>
      <c r="AN165">
        <v>9</v>
      </c>
      <c r="AO165" t="s">
        <v>489</v>
      </c>
      <c r="AP165">
        <v>1980</v>
      </c>
      <c r="AX165" s="111">
        <f>MAX(AY165:AZ165)</f>
        <v>40210</v>
      </c>
      <c r="AY165" s="111">
        <f>G70</f>
        <v>40210</v>
      </c>
      <c r="AZ165" s="111">
        <f>F68</f>
        <v>40210</v>
      </c>
      <c r="BA165" s="127">
        <f>E136</f>
        <v>40817.01</v>
      </c>
      <c r="BB165" s="127">
        <v>40210</v>
      </c>
      <c r="BC165" s="127">
        <f>IF(BB165&lt;=AX165,AX165,BB165)</f>
        <v>40210</v>
      </c>
      <c r="BD165" s="127">
        <f>IF(BC165&gt;BA165,AX165,BC165)</f>
        <v>40210</v>
      </c>
      <c r="BE165" s="127">
        <f>MIN(BD165:BD195)</f>
        <v>40210</v>
      </c>
      <c r="BF165" s="127">
        <f>MIN(CR165:CR195)</f>
        <v>40238</v>
      </c>
      <c r="BG165" s="127">
        <f>MIN(CS165:CS195)</f>
        <v>40269</v>
      </c>
      <c r="BH165" s="127">
        <f>MIN(CT165:CT195)</f>
        <v>40299</v>
      </c>
      <c r="BI165" s="127"/>
      <c r="BJ165" s="111">
        <v>40861</v>
      </c>
      <c r="BK165" s="127">
        <v>39742</v>
      </c>
      <c r="BL165" s="127"/>
      <c r="BM165" s="127"/>
      <c r="BN165" s="127"/>
      <c r="BO165" s="127"/>
      <c r="BP165" s="127"/>
      <c r="BQ165" s="127">
        <f aca="true" t="shared" si="50" ref="BQ165:CI165">MIN(CU165:CU195)</f>
        <v>40330</v>
      </c>
      <c r="BR165" s="127">
        <f t="shared" si="50"/>
        <v>40360</v>
      </c>
      <c r="BS165" s="127">
        <f t="shared" si="50"/>
        <v>40391</v>
      </c>
      <c r="BT165" s="127">
        <f t="shared" si="50"/>
        <v>40422</v>
      </c>
      <c r="BU165" s="127">
        <f t="shared" si="50"/>
        <v>40452</v>
      </c>
      <c r="BV165" s="127">
        <f t="shared" si="50"/>
        <v>40483</v>
      </c>
      <c r="BW165" s="127">
        <f t="shared" si="50"/>
        <v>40513</v>
      </c>
      <c r="BX165" s="127">
        <f t="shared" si="50"/>
        <v>40544</v>
      </c>
      <c r="BY165" s="127">
        <f t="shared" si="50"/>
        <v>40575</v>
      </c>
      <c r="BZ165" s="127">
        <f t="shared" si="50"/>
        <v>40603</v>
      </c>
      <c r="CA165" s="127">
        <f t="shared" si="50"/>
        <v>40628.01</v>
      </c>
      <c r="CB165" s="127">
        <f t="shared" si="50"/>
        <v>40634</v>
      </c>
      <c r="CC165" s="127">
        <f t="shared" si="50"/>
        <v>40664</v>
      </c>
      <c r="CD165" s="127">
        <f t="shared" si="50"/>
        <v>40695</v>
      </c>
      <c r="CE165" s="127">
        <f t="shared" si="50"/>
        <v>40725</v>
      </c>
      <c r="CF165" s="127">
        <f t="shared" si="50"/>
        <v>40756</v>
      </c>
      <c r="CG165" s="127">
        <f t="shared" si="50"/>
        <v>40787</v>
      </c>
      <c r="CH165" s="127">
        <f t="shared" si="50"/>
        <v>40817</v>
      </c>
      <c r="CI165" s="127">
        <f t="shared" si="50"/>
        <v>0</v>
      </c>
      <c r="CJ165" s="127">
        <f aca="true" t="shared" si="51" ref="CJ165:CO165">MIN(DN165:DN195)</f>
        <v>0</v>
      </c>
      <c r="CK165" s="127">
        <f t="shared" si="51"/>
        <v>0</v>
      </c>
      <c r="CL165" s="127">
        <f t="shared" si="51"/>
        <v>0</v>
      </c>
      <c r="CM165" s="127">
        <f t="shared" si="51"/>
        <v>0</v>
      </c>
      <c r="CN165" s="127">
        <f t="shared" si="51"/>
        <v>0</v>
      </c>
      <c r="CO165" s="127">
        <f t="shared" si="51"/>
        <v>0</v>
      </c>
      <c r="CP165" s="127">
        <f>MIN(DT165:DT195)</f>
        <v>0</v>
      </c>
      <c r="CQ165" s="127">
        <f>MIN(DU165:DU195)</f>
        <v>0</v>
      </c>
      <c r="CR165" s="127" t="str">
        <f>IF(BD165=BE165," ",BD165)</f>
        <v> </v>
      </c>
      <c r="CS165" s="127" t="str">
        <f>IF(CR165=BF165," ",CR165)</f>
        <v> </v>
      </c>
      <c r="CT165" s="127" t="str">
        <f>IF(CS165=BG165," ",CS165)</f>
        <v> </v>
      </c>
      <c r="CU165" s="127" t="str">
        <f>IF(CT165=BH165," ",CT165)</f>
        <v> </v>
      </c>
      <c r="CV165" s="127" t="str">
        <f aca="true" t="shared" si="52" ref="CV165:DO165">IF(CU165=BQ165," ",CU165)</f>
        <v> </v>
      </c>
      <c r="CW165" s="127" t="str">
        <f t="shared" si="52"/>
        <v> </v>
      </c>
      <c r="CX165" s="127" t="str">
        <f t="shared" si="52"/>
        <v> </v>
      </c>
      <c r="CY165" s="127" t="str">
        <f t="shared" si="52"/>
        <v> </v>
      </c>
      <c r="CZ165" s="127" t="str">
        <f t="shared" si="52"/>
        <v> </v>
      </c>
      <c r="DA165" s="127" t="str">
        <f t="shared" si="52"/>
        <v> </v>
      </c>
      <c r="DB165" s="127" t="str">
        <f t="shared" si="52"/>
        <v> </v>
      </c>
      <c r="DC165" s="127" t="str">
        <f t="shared" si="52"/>
        <v> </v>
      </c>
      <c r="DD165" s="127" t="str">
        <f t="shared" si="52"/>
        <v> </v>
      </c>
      <c r="DE165" s="127" t="str">
        <f t="shared" si="52"/>
        <v> </v>
      </c>
      <c r="DF165" s="127" t="str">
        <f t="shared" si="52"/>
        <v> </v>
      </c>
      <c r="DG165" s="127" t="str">
        <f t="shared" si="52"/>
        <v> </v>
      </c>
      <c r="DH165" s="127" t="str">
        <f t="shared" si="52"/>
        <v> </v>
      </c>
      <c r="DI165" s="127" t="str">
        <f t="shared" si="52"/>
        <v> </v>
      </c>
      <c r="DJ165" s="127" t="str">
        <f t="shared" si="52"/>
        <v> </v>
      </c>
      <c r="DK165" s="127" t="str">
        <f t="shared" si="52"/>
        <v> </v>
      </c>
      <c r="DL165" s="127" t="str">
        <f t="shared" si="52"/>
        <v> </v>
      </c>
      <c r="DM165" s="127" t="str">
        <f t="shared" si="52"/>
        <v> </v>
      </c>
      <c r="DN165" s="127" t="str">
        <f t="shared" si="52"/>
        <v> </v>
      </c>
      <c r="DO165" s="127" t="str">
        <f t="shared" si="52"/>
        <v> </v>
      </c>
      <c r="DP165" s="127" t="str">
        <f aca="true" t="shared" si="53" ref="DP165:DV165">IF(DO165=CK165," ",DO165)</f>
        <v> </v>
      </c>
      <c r="DQ165" s="127" t="str">
        <f t="shared" si="53"/>
        <v> </v>
      </c>
      <c r="DR165" s="127" t="str">
        <f t="shared" si="53"/>
        <v> </v>
      </c>
      <c r="DS165" s="127" t="str">
        <f t="shared" si="53"/>
        <v> </v>
      </c>
      <c r="DT165" s="127" t="str">
        <f t="shared" si="53"/>
        <v> </v>
      </c>
      <c r="DU165" s="127" t="str">
        <f t="shared" si="53"/>
        <v> </v>
      </c>
      <c r="DV165" s="127" t="str">
        <f t="shared" si="53"/>
        <v> </v>
      </c>
      <c r="DW165" s="127"/>
    </row>
    <row r="166" spans="3:127" ht="12.75" hidden="1">
      <c r="C166" s="111"/>
      <c r="F166" s="164"/>
      <c r="G166" s="164"/>
      <c r="H166" s="164"/>
      <c r="S166" s="432"/>
      <c r="T166" s="127">
        <f t="shared" si="48"/>
        <v>40628.01</v>
      </c>
      <c r="U166" s="13">
        <f>U160</f>
        <v>40628.01</v>
      </c>
      <c r="V166" s="455">
        <f>IF(T166=C174," ",T166)</f>
        <v>40628.01</v>
      </c>
      <c r="W166" s="455">
        <f>IF(V166=C173," ",V166)</f>
        <v>40628.01</v>
      </c>
      <c r="X166" s="455">
        <f>IF(W166=C172," ",W166)</f>
        <v>40628.01</v>
      </c>
      <c r="Y166" s="455">
        <f>IF(X166=C171," ",X166)</f>
        <v>40628.01</v>
      </c>
      <c r="Z166" s="455">
        <f>IF(Y166=C170," ",Y166)</f>
        <v>40628.01</v>
      </c>
      <c r="AA166" s="455">
        <f>IF(Z166=C169," ",Z166)</f>
        <v>40628.01</v>
      </c>
      <c r="AB166" s="455">
        <f>IF(AA166=C168," ",AA166)</f>
        <v>40628.01</v>
      </c>
      <c r="AC166" s="455">
        <f>IF(AB166=C167," ",AB166)</f>
        <v>40628.01</v>
      </c>
      <c r="AD166" s="455">
        <f>IF(AC166=C166," ",AC166)</f>
        <v>40628.01</v>
      </c>
      <c r="AE166" s="455">
        <f>IF(AD166=C165," ",AD166)</f>
        <v>40628.01</v>
      </c>
      <c r="AF166" s="455">
        <f>IF(C164=AE166," ",AE166)</f>
        <v>40628.01</v>
      </c>
      <c r="AG166" s="455">
        <f>IF(C163=AF166," ",AF166)</f>
        <v>40628.01</v>
      </c>
      <c r="AH166" s="455">
        <f>IF(C162=AG166," ",AG166)</f>
        <v>40628.01</v>
      </c>
      <c r="AI166" s="455">
        <f>IF(AH166=C161," ",AH166)</f>
        <v>40628.01</v>
      </c>
      <c r="AJ166" s="455">
        <f>IF(AI166=C160," ",AI166)</f>
        <v>40628.01</v>
      </c>
      <c r="AK166" s="455">
        <f>IF(AJ166=C159," ",AJ166)</f>
        <v>40628.01</v>
      </c>
      <c r="AL166" s="455">
        <f>IF(AK166=C158," ",AK166)</f>
        <v>40628.01</v>
      </c>
      <c r="AM166" s="111">
        <f t="shared" si="49"/>
        <v>40818.01</v>
      </c>
      <c r="AN166">
        <v>10</v>
      </c>
      <c r="AO166" t="s">
        <v>490</v>
      </c>
      <c r="AP166">
        <v>1981</v>
      </c>
      <c r="AX166" s="111">
        <f aca="true" t="shared" si="54" ref="AX166:AX195">MAX(AY166:AZ166)</f>
        <v>40210</v>
      </c>
      <c r="AY166" s="111">
        <f>AY165</f>
        <v>40210</v>
      </c>
      <c r="AZ166" s="111">
        <f>AZ165</f>
        <v>40210</v>
      </c>
      <c r="BA166" s="127">
        <f>BA165+0</f>
        <v>40817.01</v>
      </c>
      <c r="BB166" s="127">
        <v>40238</v>
      </c>
      <c r="BC166" s="127">
        <f aca="true" t="shared" si="55" ref="BC166:BC195">IF(BB166&lt;=AX166,AX166,BB166)</f>
        <v>40238</v>
      </c>
      <c r="BD166" s="127">
        <f>IF(BC166&gt;BA166,AX165,BC166)</f>
        <v>40238</v>
      </c>
      <c r="BE166" s="127">
        <f>BE165+0</f>
        <v>40210</v>
      </c>
      <c r="BF166" s="127">
        <f>BF165+0</f>
        <v>40238</v>
      </c>
      <c r="BG166" s="127">
        <f>BG165+0</f>
        <v>40269</v>
      </c>
      <c r="BH166" s="127">
        <f>BH165+0</f>
        <v>40299</v>
      </c>
      <c r="BI166" s="127"/>
      <c r="BJ166" s="111">
        <v>40862</v>
      </c>
      <c r="BK166" s="127">
        <v>39743</v>
      </c>
      <c r="BL166" s="127"/>
      <c r="BM166" s="127"/>
      <c r="BN166" s="127"/>
      <c r="BO166" s="127"/>
      <c r="BP166" s="127"/>
      <c r="BQ166" s="127">
        <f>BQ165+0</f>
        <v>40330</v>
      </c>
      <c r="BR166" s="127">
        <f>BR165+0</f>
        <v>40360</v>
      </c>
      <c r="BS166" s="127">
        <f>BS165+0</f>
        <v>40391</v>
      </c>
      <c r="BT166" s="127">
        <f aca="true" t="shared" si="56" ref="BT166:CI166">BT165+0</f>
        <v>40422</v>
      </c>
      <c r="BU166" s="127">
        <f t="shared" si="56"/>
        <v>40452</v>
      </c>
      <c r="BV166" s="127">
        <f t="shared" si="56"/>
        <v>40483</v>
      </c>
      <c r="BW166" s="127">
        <f t="shared" si="56"/>
        <v>40513</v>
      </c>
      <c r="BX166" s="127">
        <f t="shared" si="56"/>
        <v>40544</v>
      </c>
      <c r="BY166" s="127">
        <f t="shared" si="56"/>
        <v>40575</v>
      </c>
      <c r="BZ166" s="127">
        <f t="shared" si="56"/>
        <v>40603</v>
      </c>
      <c r="CA166" s="127">
        <f t="shared" si="56"/>
        <v>40628.01</v>
      </c>
      <c r="CB166" s="127">
        <f t="shared" si="56"/>
        <v>40634</v>
      </c>
      <c r="CC166" s="127">
        <f t="shared" si="56"/>
        <v>40664</v>
      </c>
      <c r="CD166" s="127">
        <f t="shared" si="56"/>
        <v>40695</v>
      </c>
      <c r="CE166" s="127">
        <f t="shared" si="56"/>
        <v>40725</v>
      </c>
      <c r="CF166" s="127">
        <f t="shared" si="56"/>
        <v>40756</v>
      </c>
      <c r="CG166" s="127">
        <f t="shared" si="56"/>
        <v>40787</v>
      </c>
      <c r="CH166" s="127">
        <f t="shared" si="56"/>
        <v>40817</v>
      </c>
      <c r="CI166" s="127">
        <f t="shared" si="56"/>
        <v>0</v>
      </c>
      <c r="CJ166" s="127">
        <f aca="true" t="shared" si="57" ref="CJ166:CQ166">CJ165+0</f>
        <v>0</v>
      </c>
      <c r="CK166" s="127">
        <f t="shared" si="57"/>
        <v>0</v>
      </c>
      <c r="CL166" s="127">
        <f t="shared" si="57"/>
        <v>0</v>
      </c>
      <c r="CM166" s="127">
        <f t="shared" si="57"/>
        <v>0</v>
      </c>
      <c r="CN166" s="127">
        <f t="shared" si="57"/>
        <v>0</v>
      </c>
      <c r="CO166" s="127">
        <f t="shared" si="57"/>
        <v>0</v>
      </c>
      <c r="CP166" s="127">
        <f t="shared" si="57"/>
        <v>0</v>
      </c>
      <c r="CQ166" s="127">
        <f t="shared" si="57"/>
        <v>0</v>
      </c>
      <c r="CR166" s="127">
        <f aca="true" t="shared" si="58" ref="CR166:CR195">IF(BD166=BE166," ",BD166)</f>
        <v>40238</v>
      </c>
      <c r="CS166" s="127" t="str">
        <f aca="true" t="shared" si="59" ref="CS166:CS195">IF(CR166=BF166," ",CR166)</f>
        <v> </v>
      </c>
      <c r="CT166" s="127" t="str">
        <f aca="true" t="shared" si="60" ref="CT166:CT195">IF(CS166=BG166," ",CS166)</f>
        <v> </v>
      </c>
      <c r="CU166" s="127" t="str">
        <f aca="true" t="shared" si="61" ref="CU166:CU195">IF(CT166=BH166," ",CT166)</f>
        <v> </v>
      </c>
      <c r="CV166" s="127" t="str">
        <f aca="true" t="shared" si="62" ref="CV166:CV195">IF(CU166=BQ166," ",CU166)</f>
        <v> </v>
      </c>
      <c r="CW166" s="127" t="str">
        <f aca="true" t="shared" si="63" ref="CW166:CW195">IF(CV166=BR166," ",CV166)</f>
        <v> </v>
      </c>
      <c r="CX166" s="127" t="str">
        <f aca="true" t="shared" si="64" ref="CX166:CX195">IF(CW166=BS166," ",CW166)</f>
        <v> </v>
      </c>
      <c r="CY166" s="127" t="str">
        <f aca="true" t="shared" si="65" ref="CY166:CY195">IF(CX166=BT166," ",CX166)</f>
        <v> </v>
      </c>
      <c r="CZ166" s="127" t="str">
        <f aca="true" t="shared" si="66" ref="CZ166:CZ195">IF(CY166=BU166," ",CY166)</f>
        <v> </v>
      </c>
      <c r="DA166" s="127" t="str">
        <f aca="true" t="shared" si="67" ref="DA166:DA195">IF(CZ166=BV166," ",CZ166)</f>
        <v> </v>
      </c>
      <c r="DB166" s="127" t="str">
        <f aca="true" t="shared" si="68" ref="DB166:DB195">IF(DA166=BW166," ",DA166)</f>
        <v> </v>
      </c>
      <c r="DC166" s="127" t="str">
        <f aca="true" t="shared" si="69" ref="DC166:DC195">IF(DB166=BX166," ",DB166)</f>
        <v> </v>
      </c>
      <c r="DD166" s="127" t="str">
        <f aca="true" t="shared" si="70" ref="DD166:DD195">IF(DC166=BY166," ",DC166)</f>
        <v> </v>
      </c>
      <c r="DE166" s="127" t="str">
        <f aca="true" t="shared" si="71" ref="DE166:DE195">IF(DD166=BZ166," ",DD166)</f>
        <v> </v>
      </c>
      <c r="DF166" s="127" t="str">
        <f aca="true" t="shared" si="72" ref="DF166:DF195">IF(DE166=CA166," ",DE166)</f>
        <v> </v>
      </c>
      <c r="DG166" s="127" t="str">
        <f aca="true" t="shared" si="73" ref="DG166:DG195">IF(DF166=CB166," ",DF166)</f>
        <v> </v>
      </c>
      <c r="DH166" s="127" t="str">
        <f aca="true" t="shared" si="74" ref="DH166:DH195">IF(DG166=CC166," ",DG166)</f>
        <v> </v>
      </c>
      <c r="DI166" s="127" t="str">
        <f aca="true" t="shared" si="75" ref="DI166:DI195">IF(DH166=CD166," ",DH166)</f>
        <v> </v>
      </c>
      <c r="DJ166" s="127" t="str">
        <f aca="true" t="shared" si="76" ref="DJ166:DJ195">IF(DI166=CE166," ",DI166)</f>
        <v> </v>
      </c>
      <c r="DK166" s="127" t="str">
        <f aca="true" t="shared" si="77" ref="DK166:DK195">IF(DJ166=CF166," ",DJ166)</f>
        <v> </v>
      </c>
      <c r="DL166" s="127" t="str">
        <f aca="true" t="shared" si="78" ref="DL166:DL195">IF(DK166=CG166," ",DK166)</f>
        <v> </v>
      </c>
      <c r="DM166" s="127" t="str">
        <f aca="true" t="shared" si="79" ref="DM166:DM195">IF(DL166=CH166," ",DL166)</f>
        <v> </v>
      </c>
      <c r="DN166" s="127" t="str">
        <f aca="true" t="shared" si="80" ref="DN166:DN195">IF(DM166=CI166," ",DM166)</f>
        <v> </v>
      </c>
      <c r="DO166" s="127" t="str">
        <f aca="true" t="shared" si="81" ref="DO166:DO195">IF(DN166=CJ166," ",DN166)</f>
        <v> </v>
      </c>
      <c r="DP166" s="127" t="str">
        <f aca="true" t="shared" si="82" ref="DP166:DP195">IF(DO166=CK166," ",DO166)</f>
        <v> </v>
      </c>
      <c r="DQ166" s="127" t="str">
        <f aca="true" t="shared" si="83" ref="DQ166:DQ195">IF(DP166=CL166," ",DP166)</f>
        <v> </v>
      </c>
      <c r="DR166" s="127" t="str">
        <f aca="true" t="shared" si="84" ref="DR166:DR195">IF(DQ166=CM166," ",DQ166)</f>
        <v> </v>
      </c>
      <c r="DS166" s="127" t="str">
        <f aca="true" t="shared" si="85" ref="DS166:DS195">IF(DR166=CN166," ",DR166)</f>
        <v> </v>
      </c>
      <c r="DT166" s="127" t="str">
        <f aca="true" t="shared" si="86" ref="DT166:DT195">IF(DS166=CO166," ",DS166)</f>
        <v> </v>
      </c>
      <c r="DU166" s="127" t="str">
        <f aca="true" t="shared" si="87" ref="DU166:DU195">IF(DT166=CR166," ",DT166)</f>
        <v> </v>
      </c>
      <c r="DV166" s="127" t="str">
        <f aca="true" t="shared" si="88" ref="DV166:DV195">IF(DU166=CS166," ",DU166)</f>
        <v> </v>
      </c>
      <c r="DW166" s="127"/>
    </row>
    <row r="167" spans="3:127" ht="12.75" hidden="1">
      <c r="C167" s="111"/>
      <c r="F167" s="164"/>
      <c r="G167" s="164"/>
      <c r="H167" s="164"/>
      <c r="O167" s="111"/>
      <c r="S167" s="432"/>
      <c r="T167" s="127">
        <f t="shared" si="48"/>
        <v>40628.01</v>
      </c>
      <c r="U167" s="13">
        <f>U166</f>
        <v>40628.01</v>
      </c>
      <c r="V167" s="455">
        <f>IF(T167=C174," ",T167)</f>
        <v>40628.01</v>
      </c>
      <c r="W167" s="455">
        <f>IF(V167=C173," ",V167)</f>
        <v>40628.01</v>
      </c>
      <c r="X167" s="455">
        <f>IF(W167=C172," ",W167)</f>
        <v>40628.01</v>
      </c>
      <c r="Y167" s="455">
        <f>IF(X167=C171," ",X167)</f>
        <v>40628.01</v>
      </c>
      <c r="Z167" s="455">
        <f>IF(Y167=C170," ",Y167)</f>
        <v>40628.01</v>
      </c>
      <c r="AA167" s="455">
        <f>IF(Z167=C169," ",Z167)</f>
        <v>40628.01</v>
      </c>
      <c r="AB167" s="455">
        <f>IF(AA167=C168," ",AA167)</f>
        <v>40628.01</v>
      </c>
      <c r="AC167" s="455">
        <f>IF(AB167=C167," ",AB167)</f>
        <v>40628.01</v>
      </c>
      <c r="AD167" s="455">
        <f>IF(AC167=C166," ",AC167)</f>
        <v>40628.01</v>
      </c>
      <c r="AE167" s="455">
        <f>IF(AD167=C165," ",AD167)</f>
        <v>40628.01</v>
      </c>
      <c r="AF167" s="455">
        <f>IF(C164=AE167," ",AE167)</f>
        <v>40628.01</v>
      </c>
      <c r="AG167" s="455">
        <f>IF(C163=AF167," ",AF167)</f>
        <v>40628.01</v>
      </c>
      <c r="AH167" s="455">
        <f>IF(C162=AG167," ",AG167)</f>
        <v>40628.01</v>
      </c>
      <c r="AI167" s="455">
        <f>IF(AH167=C161," ",AH167)</f>
        <v>40628.01</v>
      </c>
      <c r="AJ167" s="455">
        <f>IF(AI167=C160," ",AI167)</f>
        <v>40628.01</v>
      </c>
      <c r="AK167" s="455">
        <f>IF(AJ167=C159," ",AJ167)</f>
        <v>40628.01</v>
      </c>
      <c r="AL167" s="455">
        <f>IF(AK167=C158," ",AK167)</f>
        <v>40628.01</v>
      </c>
      <c r="AM167" s="111">
        <f t="shared" si="49"/>
        <v>40818.01</v>
      </c>
      <c r="AN167">
        <v>11</v>
      </c>
      <c r="AO167" t="s">
        <v>491</v>
      </c>
      <c r="AP167">
        <v>1982</v>
      </c>
      <c r="AX167" s="111">
        <f t="shared" si="54"/>
        <v>40210</v>
      </c>
      <c r="AY167" s="111">
        <f aca="true" t="shared" si="89" ref="AY167:AY195">AY166</f>
        <v>40210</v>
      </c>
      <c r="AZ167" s="111">
        <f aca="true" t="shared" si="90" ref="AZ167:AZ195">AZ166</f>
        <v>40210</v>
      </c>
      <c r="BA167" s="127">
        <f aca="true" t="shared" si="91" ref="BA167:BA195">BA166+0</f>
        <v>40817.01</v>
      </c>
      <c r="BB167" s="127">
        <v>40269</v>
      </c>
      <c r="BC167" s="127">
        <f t="shared" si="55"/>
        <v>40269</v>
      </c>
      <c r="BD167" s="127">
        <f>IF(BC167&gt;BA167,AX165,BC167)</f>
        <v>40269</v>
      </c>
      <c r="BE167" s="127">
        <f aca="true" t="shared" si="92" ref="BE167:BE195">BE166+0</f>
        <v>40210</v>
      </c>
      <c r="BF167" s="127">
        <f aca="true" t="shared" si="93" ref="BF167:BF195">BF166+0</f>
        <v>40238</v>
      </c>
      <c r="BG167" s="127">
        <f aca="true" t="shared" si="94" ref="BG167:BG195">BG166+0</f>
        <v>40269</v>
      </c>
      <c r="BH167" s="127">
        <f aca="true" t="shared" si="95" ref="BH167:BH195">BH166+0</f>
        <v>40299</v>
      </c>
      <c r="BI167" s="127"/>
      <c r="BJ167" s="111">
        <v>40863</v>
      </c>
      <c r="BK167" s="127">
        <v>39744</v>
      </c>
      <c r="BL167" s="127"/>
      <c r="BM167" s="127"/>
      <c r="BN167" s="127"/>
      <c r="BO167" s="127"/>
      <c r="BP167" s="127"/>
      <c r="BQ167" s="127">
        <f aca="true" t="shared" si="96" ref="BQ167:BQ195">BQ166+0</f>
        <v>40330</v>
      </c>
      <c r="BR167" s="127">
        <f aca="true" t="shared" si="97" ref="BR167:BR195">BR166+0</f>
        <v>40360</v>
      </c>
      <c r="BS167" s="127">
        <f aca="true" t="shared" si="98" ref="BS167:BS195">BS166+0</f>
        <v>40391</v>
      </c>
      <c r="BT167" s="127">
        <f aca="true" t="shared" si="99" ref="BT167:BT195">BT166+0</f>
        <v>40422</v>
      </c>
      <c r="BU167" s="127">
        <f aca="true" t="shared" si="100" ref="BU167:BU195">BU166+0</f>
        <v>40452</v>
      </c>
      <c r="BV167" s="127">
        <f aca="true" t="shared" si="101" ref="BV167:BV195">BV166+0</f>
        <v>40483</v>
      </c>
      <c r="BW167" s="127">
        <f aca="true" t="shared" si="102" ref="BW167:BW195">BW166+0</f>
        <v>40513</v>
      </c>
      <c r="BX167" s="127">
        <f aca="true" t="shared" si="103" ref="BX167:BX195">BX166+0</f>
        <v>40544</v>
      </c>
      <c r="BY167" s="127">
        <f aca="true" t="shared" si="104" ref="BY167:BY195">BY166+0</f>
        <v>40575</v>
      </c>
      <c r="BZ167" s="127">
        <f aca="true" t="shared" si="105" ref="BZ167:BZ195">BZ166+0</f>
        <v>40603</v>
      </c>
      <c r="CA167" s="127">
        <f aca="true" t="shared" si="106" ref="CA167:CA195">CA166+0</f>
        <v>40628.01</v>
      </c>
      <c r="CB167" s="127">
        <f aca="true" t="shared" si="107" ref="CB167:CB195">CB166+0</f>
        <v>40634</v>
      </c>
      <c r="CC167" s="127">
        <f aca="true" t="shared" si="108" ref="CC167:CC195">CC166+0</f>
        <v>40664</v>
      </c>
      <c r="CD167" s="127">
        <f aca="true" t="shared" si="109" ref="CD167:CD195">CD166+0</f>
        <v>40695</v>
      </c>
      <c r="CE167" s="127">
        <f aca="true" t="shared" si="110" ref="CE167:CE195">CE166+0</f>
        <v>40725</v>
      </c>
      <c r="CF167" s="127">
        <f aca="true" t="shared" si="111" ref="CF167:CF195">CF166+0</f>
        <v>40756</v>
      </c>
      <c r="CG167" s="127">
        <f aca="true" t="shared" si="112" ref="CG167:CG195">CG166+0</f>
        <v>40787</v>
      </c>
      <c r="CH167" s="127">
        <f aca="true" t="shared" si="113" ref="CH167:CH195">CH166+0</f>
        <v>40817</v>
      </c>
      <c r="CI167" s="127">
        <f aca="true" t="shared" si="114" ref="CI167:CI195">CI166+0</f>
        <v>0</v>
      </c>
      <c r="CJ167" s="127">
        <f aca="true" t="shared" si="115" ref="CJ167:CJ195">CJ166+0</f>
        <v>0</v>
      </c>
      <c r="CK167" s="127">
        <f aca="true" t="shared" si="116" ref="CK167:CK195">CK166+0</f>
        <v>0</v>
      </c>
      <c r="CL167" s="127">
        <f aca="true" t="shared" si="117" ref="CL167:CL195">CL166+0</f>
        <v>0</v>
      </c>
      <c r="CM167" s="127">
        <f aca="true" t="shared" si="118" ref="CM167:CM195">CM166+0</f>
        <v>0</v>
      </c>
      <c r="CN167" s="127">
        <f aca="true" t="shared" si="119" ref="CN167:CN195">CN166+0</f>
        <v>0</v>
      </c>
      <c r="CO167" s="127">
        <f aca="true" t="shared" si="120" ref="CO167:CO195">CO166+0</f>
        <v>0</v>
      </c>
      <c r="CP167" s="127">
        <f aca="true" t="shared" si="121" ref="CP167:CP195">CP166+0</f>
        <v>0</v>
      </c>
      <c r="CQ167" s="127">
        <f aca="true" t="shared" si="122" ref="CQ167:CQ195">CQ166+0</f>
        <v>0</v>
      </c>
      <c r="CR167" s="127">
        <f t="shared" si="58"/>
        <v>40269</v>
      </c>
      <c r="CS167" s="127">
        <f t="shared" si="59"/>
        <v>40269</v>
      </c>
      <c r="CT167" s="127" t="str">
        <f t="shared" si="60"/>
        <v> </v>
      </c>
      <c r="CU167" s="127" t="str">
        <f t="shared" si="61"/>
        <v> </v>
      </c>
      <c r="CV167" s="127" t="str">
        <f t="shared" si="62"/>
        <v> </v>
      </c>
      <c r="CW167" s="127" t="str">
        <f t="shared" si="63"/>
        <v> </v>
      </c>
      <c r="CX167" s="127" t="str">
        <f t="shared" si="64"/>
        <v> </v>
      </c>
      <c r="CY167" s="127" t="str">
        <f t="shared" si="65"/>
        <v> </v>
      </c>
      <c r="CZ167" s="127" t="str">
        <f t="shared" si="66"/>
        <v> </v>
      </c>
      <c r="DA167" s="127" t="str">
        <f t="shared" si="67"/>
        <v> </v>
      </c>
      <c r="DB167" s="127" t="str">
        <f t="shared" si="68"/>
        <v> </v>
      </c>
      <c r="DC167" s="127" t="str">
        <f t="shared" si="69"/>
        <v> </v>
      </c>
      <c r="DD167" s="127" t="str">
        <f t="shared" si="70"/>
        <v> </v>
      </c>
      <c r="DE167" s="127" t="str">
        <f t="shared" si="71"/>
        <v> </v>
      </c>
      <c r="DF167" s="127" t="str">
        <f t="shared" si="72"/>
        <v> </v>
      </c>
      <c r="DG167" s="127" t="str">
        <f t="shared" si="73"/>
        <v> </v>
      </c>
      <c r="DH167" s="127" t="str">
        <f t="shared" si="74"/>
        <v> </v>
      </c>
      <c r="DI167" s="127" t="str">
        <f t="shared" si="75"/>
        <v> </v>
      </c>
      <c r="DJ167" s="127" t="str">
        <f t="shared" si="76"/>
        <v> </v>
      </c>
      <c r="DK167" s="127" t="str">
        <f t="shared" si="77"/>
        <v> </v>
      </c>
      <c r="DL167" s="127" t="str">
        <f t="shared" si="78"/>
        <v> </v>
      </c>
      <c r="DM167" s="127" t="str">
        <f t="shared" si="79"/>
        <v> </v>
      </c>
      <c r="DN167" s="127" t="str">
        <f t="shared" si="80"/>
        <v> </v>
      </c>
      <c r="DO167" s="127" t="str">
        <f t="shared" si="81"/>
        <v> </v>
      </c>
      <c r="DP167" s="127" t="str">
        <f t="shared" si="82"/>
        <v> </v>
      </c>
      <c r="DQ167" s="127" t="str">
        <f t="shared" si="83"/>
        <v> </v>
      </c>
      <c r="DR167" s="127" t="str">
        <f t="shared" si="84"/>
        <v> </v>
      </c>
      <c r="DS167" s="127" t="str">
        <f t="shared" si="85"/>
        <v> </v>
      </c>
      <c r="DT167" s="127" t="str">
        <f t="shared" si="86"/>
        <v> </v>
      </c>
      <c r="DU167" s="127" t="str">
        <f t="shared" si="87"/>
        <v> </v>
      </c>
      <c r="DV167" s="127" t="str">
        <f t="shared" si="88"/>
        <v> </v>
      </c>
      <c r="DW167" s="127"/>
    </row>
    <row r="168" spans="3:127" ht="12.75" hidden="1">
      <c r="C168" s="111"/>
      <c r="F168" s="164"/>
      <c r="G168" s="164"/>
      <c r="H168" s="164"/>
      <c r="S168" s="432"/>
      <c r="T168" s="127">
        <f t="shared" si="48"/>
        <v>40628.01</v>
      </c>
      <c r="U168" s="13">
        <f aca="true" t="shared" si="123" ref="U168:U174">U167</f>
        <v>40628.01</v>
      </c>
      <c r="V168" s="455">
        <f>IF(T168=C174," ",T168)</f>
        <v>40628.01</v>
      </c>
      <c r="W168" s="455">
        <f>IF(V168=C173," ",V168)</f>
        <v>40628.01</v>
      </c>
      <c r="X168" s="455">
        <f>IF(W168=C172," ",W168)</f>
        <v>40628.01</v>
      </c>
      <c r="Y168" s="455">
        <f>IF(X168=C171," ",X168)</f>
        <v>40628.01</v>
      </c>
      <c r="Z168" s="455">
        <f>IF(Y168=C170," ",Y168)</f>
        <v>40628.01</v>
      </c>
      <c r="AA168" s="455">
        <f>IF(Z168=C169," ",Z168)</f>
        <v>40628.01</v>
      </c>
      <c r="AB168" s="455">
        <f>IF(AA168=C168," ",AA168)</f>
        <v>40628.01</v>
      </c>
      <c r="AC168" s="455">
        <f>IF(AB168=C167," ",AB168)</f>
        <v>40628.01</v>
      </c>
      <c r="AD168" s="455">
        <f>IF(AC168=C166," ",AC168)</f>
        <v>40628.01</v>
      </c>
      <c r="AE168" s="455">
        <f>IF(AD168=C165," ",AD168)</f>
        <v>40628.01</v>
      </c>
      <c r="AF168" s="455">
        <f>IF(C164=AE168," ",AE168)</f>
        <v>40628.01</v>
      </c>
      <c r="AG168" s="455">
        <f>IF(C163=AF168," ",AF168)</f>
        <v>40628.01</v>
      </c>
      <c r="AH168" s="455">
        <f>IF(C162=AG168," ",AG168)</f>
        <v>40628.01</v>
      </c>
      <c r="AI168" s="455">
        <f>IF(AH168=C161," ",AH168)</f>
        <v>40628.01</v>
      </c>
      <c r="AJ168" s="455">
        <f>IF(AI168=C160," ",AI168)</f>
        <v>40628.01</v>
      </c>
      <c r="AK168" s="455">
        <f>IF(AJ168=C159," ",AJ168)</f>
        <v>40628.01</v>
      </c>
      <c r="AL168" s="455">
        <f>IF(AK168=C158," ",AK168)</f>
        <v>40628.01</v>
      </c>
      <c r="AM168" s="111">
        <f t="shared" si="49"/>
        <v>40818.01</v>
      </c>
      <c r="AN168">
        <v>12</v>
      </c>
      <c r="AO168" t="s">
        <v>492</v>
      </c>
      <c r="AP168">
        <v>1983</v>
      </c>
      <c r="AX168" s="111">
        <f t="shared" si="54"/>
        <v>40210</v>
      </c>
      <c r="AY168" s="111">
        <f t="shared" si="89"/>
        <v>40210</v>
      </c>
      <c r="AZ168" s="111">
        <f t="shared" si="90"/>
        <v>40210</v>
      </c>
      <c r="BA168" s="127">
        <f t="shared" si="91"/>
        <v>40817.01</v>
      </c>
      <c r="BB168" s="127">
        <v>40299</v>
      </c>
      <c r="BC168" s="127">
        <f t="shared" si="55"/>
        <v>40299</v>
      </c>
      <c r="BD168" s="127">
        <f>IF(BC168&gt;BA168,AX165,BC168)</f>
        <v>40299</v>
      </c>
      <c r="BE168" s="127">
        <f t="shared" si="92"/>
        <v>40210</v>
      </c>
      <c r="BF168" s="127">
        <f t="shared" si="93"/>
        <v>40238</v>
      </c>
      <c r="BG168" s="127">
        <f t="shared" si="94"/>
        <v>40269</v>
      </c>
      <c r="BH168" s="127">
        <f t="shared" si="95"/>
        <v>40299</v>
      </c>
      <c r="BI168" s="127"/>
      <c r="BJ168" s="111">
        <v>40864</v>
      </c>
      <c r="BK168" s="127">
        <v>39745</v>
      </c>
      <c r="BL168" s="127"/>
      <c r="BM168" s="127"/>
      <c r="BN168" s="127"/>
      <c r="BO168" s="127"/>
      <c r="BP168" s="127"/>
      <c r="BQ168" s="127">
        <f t="shared" si="96"/>
        <v>40330</v>
      </c>
      <c r="BR168" s="127">
        <f t="shared" si="97"/>
        <v>40360</v>
      </c>
      <c r="BS168" s="127">
        <f t="shared" si="98"/>
        <v>40391</v>
      </c>
      <c r="BT168" s="127">
        <f t="shared" si="99"/>
        <v>40422</v>
      </c>
      <c r="BU168" s="127">
        <f t="shared" si="100"/>
        <v>40452</v>
      </c>
      <c r="BV168" s="127">
        <f t="shared" si="101"/>
        <v>40483</v>
      </c>
      <c r="BW168" s="127">
        <f t="shared" si="102"/>
        <v>40513</v>
      </c>
      <c r="BX168" s="127">
        <f t="shared" si="103"/>
        <v>40544</v>
      </c>
      <c r="BY168" s="127">
        <f t="shared" si="104"/>
        <v>40575</v>
      </c>
      <c r="BZ168" s="127">
        <f t="shared" si="105"/>
        <v>40603</v>
      </c>
      <c r="CA168" s="127">
        <f t="shared" si="106"/>
        <v>40628.01</v>
      </c>
      <c r="CB168" s="127">
        <f t="shared" si="107"/>
        <v>40634</v>
      </c>
      <c r="CC168" s="127">
        <f t="shared" si="108"/>
        <v>40664</v>
      </c>
      <c r="CD168" s="127">
        <f t="shared" si="109"/>
        <v>40695</v>
      </c>
      <c r="CE168" s="127">
        <f t="shared" si="110"/>
        <v>40725</v>
      </c>
      <c r="CF168" s="127">
        <f t="shared" si="111"/>
        <v>40756</v>
      </c>
      <c r="CG168" s="127">
        <f t="shared" si="112"/>
        <v>40787</v>
      </c>
      <c r="CH168" s="127">
        <f t="shared" si="113"/>
        <v>40817</v>
      </c>
      <c r="CI168" s="127">
        <f t="shared" si="114"/>
        <v>0</v>
      </c>
      <c r="CJ168" s="127">
        <f t="shared" si="115"/>
        <v>0</v>
      </c>
      <c r="CK168" s="127">
        <f t="shared" si="116"/>
        <v>0</v>
      </c>
      <c r="CL168" s="127">
        <f t="shared" si="117"/>
        <v>0</v>
      </c>
      <c r="CM168" s="127">
        <f t="shared" si="118"/>
        <v>0</v>
      </c>
      <c r="CN168" s="127">
        <f t="shared" si="119"/>
        <v>0</v>
      </c>
      <c r="CO168" s="127">
        <f t="shared" si="120"/>
        <v>0</v>
      </c>
      <c r="CP168" s="127">
        <f t="shared" si="121"/>
        <v>0</v>
      </c>
      <c r="CQ168" s="127">
        <f t="shared" si="122"/>
        <v>0</v>
      </c>
      <c r="CR168" s="127">
        <f t="shared" si="58"/>
        <v>40299</v>
      </c>
      <c r="CS168" s="127">
        <f t="shared" si="59"/>
        <v>40299</v>
      </c>
      <c r="CT168" s="127">
        <f t="shared" si="60"/>
        <v>40299</v>
      </c>
      <c r="CU168" s="127" t="str">
        <f t="shared" si="61"/>
        <v> </v>
      </c>
      <c r="CV168" s="127" t="str">
        <f t="shared" si="62"/>
        <v> </v>
      </c>
      <c r="CW168" s="127" t="str">
        <f t="shared" si="63"/>
        <v> </v>
      </c>
      <c r="CX168" s="127" t="str">
        <f t="shared" si="64"/>
        <v> </v>
      </c>
      <c r="CY168" s="127" t="str">
        <f t="shared" si="65"/>
        <v> </v>
      </c>
      <c r="CZ168" s="127" t="str">
        <f t="shared" si="66"/>
        <v> </v>
      </c>
      <c r="DA168" s="127" t="str">
        <f t="shared" si="67"/>
        <v> </v>
      </c>
      <c r="DB168" s="127" t="str">
        <f t="shared" si="68"/>
        <v> </v>
      </c>
      <c r="DC168" s="127" t="str">
        <f t="shared" si="69"/>
        <v> </v>
      </c>
      <c r="DD168" s="127" t="str">
        <f t="shared" si="70"/>
        <v> </v>
      </c>
      <c r="DE168" s="127" t="str">
        <f t="shared" si="71"/>
        <v> </v>
      </c>
      <c r="DF168" s="127" t="str">
        <f t="shared" si="72"/>
        <v> </v>
      </c>
      <c r="DG168" s="127" t="str">
        <f t="shared" si="73"/>
        <v> </v>
      </c>
      <c r="DH168" s="127" t="str">
        <f t="shared" si="74"/>
        <v> </v>
      </c>
      <c r="DI168" s="127" t="str">
        <f t="shared" si="75"/>
        <v> </v>
      </c>
      <c r="DJ168" s="127" t="str">
        <f t="shared" si="76"/>
        <v> </v>
      </c>
      <c r="DK168" s="127" t="str">
        <f t="shared" si="77"/>
        <v> </v>
      </c>
      <c r="DL168" s="127" t="str">
        <f t="shared" si="78"/>
        <v> </v>
      </c>
      <c r="DM168" s="127" t="str">
        <f t="shared" si="79"/>
        <v> </v>
      </c>
      <c r="DN168" s="127" t="str">
        <f t="shared" si="80"/>
        <v> </v>
      </c>
      <c r="DO168" s="127" t="str">
        <f t="shared" si="81"/>
        <v> </v>
      </c>
      <c r="DP168" s="127" t="str">
        <f t="shared" si="82"/>
        <v> </v>
      </c>
      <c r="DQ168" s="127" t="str">
        <f t="shared" si="83"/>
        <v> </v>
      </c>
      <c r="DR168" s="127" t="str">
        <f t="shared" si="84"/>
        <v> </v>
      </c>
      <c r="DS168" s="127" t="str">
        <f t="shared" si="85"/>
        <v> </v>
      </c>
      <c r="DT168" s="127" t="str">
        <f t="shared" si="86"/>
        <v> </v>
      </c>
      <c r="DU168" s="127" t="str">
        <f t="shared" si="87"/>
        <v> </v>
      </c>
      <c r="DV168" s="127" t="str">
        <f t="shared" si="88"/>
        <v> </v>
      </c>
      <c r="DW168" s="127"/>
    </row>
    <row r="169" spans="3:127" ht="12.75" hidden="1">
      <c r="C169" s="111"/>
      <c r="F169" s="164"/>
      <c r="G169" s="164"/>
      <c r="H169" s="164"/>
      <c r="S169" s="432"/>
      <c r="T169" s="127">
        <f t="shared" si="48"/>
        <v>40628.01</v>
      </c>
      <c r="U169" s="13">
        <f t="shared" si="123"/>
        <v>40628.01</v>
      </c>
      <c r="V169" s="455">
        <f>IF(T169=C174," ",T169)</f>
        <v>40628.01</v>
      </c>
      <c r="W169" s="455">
        <f>IF(V169=C173," ",V169)</f>
        <v>40628.01</v>
      </c>
      <c r="X169" s="455">
        <f>IF(W169=C172," ",W169)</f>
        <v>40628.01</v>
      </c>
      <c r="Y169" s="455">
        <f>IF(X169=C171," ",X169)</f>
        <v>40628.01</v>
      </c>
      <c r="Z169" s="455">
        <f>IF(Y169=C170," ",Y169)</f>
        <v>40628.01</v>
      </c>
      <c r="AA169" s="455">
        <f>IF(Z169=C169," ",Z169)</f>
        <v>40628.01</v>
      </c>
      <c r="AB169" s="455">
        <f>IF(AA169=C168," ",AA169)</f>
        <v>40628.01</v>
      </c>
      <c r="AC169" s="455">
        <f>IF(AB169=C167," ",AB169)</f>
        <v>40628.01</v>
      </c>
      <c r="AD169" s="455">
        <f>IF(AC169=C166," ",AC169)</f>
        <v>40628.01</v>
      </c>
      <c r="AE169" s="455">
        <f>IF(AD169=C165," ",AD169)</f>
        <v>40628.01</v>
      </c>
      <c r="AF169" s="455">
        <f>IF(C164=AE169," ",AE169)</f>
        <v>40628.01</v>
      </c>
      <c r="AG169" s="455">
        <f>IF(C163=AF169," ",AF169)</f>
        <v>40628.01</v>
      </c>
      <c r="AH169" s="455">
        <f>IF(C162=AG169," ",AG169)</f>
        <v>40628.01</v>
      </c>
      <c r="AI169" s="455">
        <f>IF(AH169=C161," ",AH169)</f>
        <v>40628.01</v>
      </c>
      <c r="AJ169" s="455">
        <f>IF(AI169=C160," ",AI169)</f>
        <v>40628.01</v>
      </c>
      <c r="AK169" s="455">
        <f>IF(AJ169=C159," ",AJ169)</f>
        <v>40628.01</v>
      </c>
      <c r="AL169" s="455">
        <f>IF(AK169=C158," ",AK169)</f>
        <v>40628.01</v>
      </c>
      <c r="AM169" s="111">
        <f t="shared" si="49"/>
        <v>40818.01</v>
      </c>
      <c r="AN169">
        <v>13</v>
      </c>
      <c r="AP169">
        <v>1984</v>
      </c>
      <c r="AX169" s="111">
        <f t="shared" si="54"/>
        <v>40210</v>
      </c>
      <c r="AY169" s="111">
        <f t="shared" si="89"/>
        <v>40210</v>
      </c>
      <c r="AZ169" s="111">
        <f t="shared" si="90"/>
        <v>40210</v>
      </c>
      <c r="BA169" s="127">
        <f t="shared" si="91"/>
        <v>40817.01</v>
      </c>
      <c r="BB169" s="127">
        <v>40330</v>
      </c>
      <c r="BC169" s="127">
        <f t="shared" si="55"/>
        <v>40330</v>
      </c>
      <c r="BD169" s="127">
        <f>IF(BC169&gt;BA169,AX165,BC169)</f>
        <v>40330</v>
      </c>
      <c r="BE169" s="127">
        <f t="shared" si="92"/>
        <v>40210</v>
      </c>
      <c r="BF169" s="127">
        <f t="shared" si="93"/>
        <v>40238</v>
      </c>
      <c r="BG169" s="127">
        <f t="shared" si="94"/>
        <v>40269</v>
      </c>
      <c r="BH169" s="127">
        <f t="shared" si="95"/>
        <v>40299</v>
      </c>
      <c r="BI169" s="127"/>
      <c r="BJ169" s="111">
        <v>40865</v>
      </c>
      <c r="BK169" s="127">
        <v>39746</v>
      </c>
      <c r="BL169" s="127"/>
      <c r="BM169" s="127"/>
      <c r="BN169" s="127"/>
      <c r="BO169" s="127"/>
      <c r="BP169" s="127"/>
      <c r="BQ169" s="127">
        <f t="shared" si="96"/>
        <v>40330</v>
      </c>
      <c r="BR169" s="127">
        <f t="shared" si="97"/>
        <v>40360</v>
      </c>
      <c r="BS169" s="127">
        <f t="shared" si="98"/>
        <v>40391</v>
      </c>
      <c r="BT169" s="127">
        <f t="shared" si="99"/>
        <v>40422</v>
      </c>
      <c r="BU169" s="127">
        <f t="shared" si="100"/>
        <v>40452</v>
      </c>
      <c r="BV169" s="127">
        <f t="shared" si="101"/>
        <v>40483</v>
      </c>
      <c r="BW169" s="127">
        <f t="shared" si="102"/>
        <v>40513</v>
      </c>
      <c r="BX169" s="127">
        <f t="shared" si="103"/>
        <v>40544</v>
      </c>
      <c r="BY169" s="127">
        <f t="shared" si="104"/>
        <v>40575</v>
      </c>
      <c r="BZ169" s="127">
        <f t="shared" si="105"/>
        <v>40603</v>
      </c>
      <c r="CA169" s="127">
        <f t="shared" si="106"/>
        <v>40628.01</v>
      </c>
      <c r="CB169" s="127">
        <f t="shared" si="107"/>
        <v>40634</v>
      </c>
      <c r="CC169" s="127">
        <f t="shared" si="108"/>
        <v>40664</v>
      </c>
      <c r="CD169" s="127">
        <f t="shared" si="109"/>
        <v>40695</v>
      </c>
      <c r="CE169" s="127">
        <f t="shared" si="110"/>
        <v>40725</v>
      </c>
      <c r="CF169" s="127">
        <f t="shared" si="111"/>
        <v>40756</v>
      </c>
      <c r="CG169" s="127">
        <f t="shared" si="112"/>
        <v>40787</v>
      </c>
      <c r="CH169" s="127">
        <f t="shared" si="113"/>
        <v>40817</v>
      </c>
      <c r="CI169" s="127">
        <f t="shared" si="114"/>
        <v>0</v>
      </c>
      <c r="CJ169" s="127">
        <f t="shared" si="115"/>
        <v>0</v>
      </c>
      <c r="CK169" s="127">
        <f t="shared" si="116"/>
        <v>0</v>
      </c>
      <c r="CL169" s="127">
        <f t="shared" si="117"/>
        <v>0</v>
      </c>
      <c r="CM169" s="127">
        <f t="shared" si="118"/>
        <v>0</v>
      </c>
      <c r="CN169" s="127">
        <f t="shared" si="119"/>
        <v>0</v>
      </c>
      <c r="CO169" s="127">
        <f t="shared" si="120"/>
        <v>0</v>
      </c>
      <c r="CP169" s="127">
        <f t="shared" si="121"/>
        <v>0</v>
      </c>
      <c r="CQ169" s="127">
        <f t="shared" si="122"/>
        <v>0</v>
      </c>
      <c r="CR169" s="127">
        <f t="shared" si="58"/>
        <v>40330</v>
      </c>
      <c r="CS169" s="127">
        <f t="shared" si="59"/>
        <v>40330</v>
      </c>
      <c r="CT169" s="127">
        <f t="shared" si="60"/>
        <v>40330</v>
      </c>
      <c r="CU169" s="127">
        <f t="shared" si="61"/>
        <v>40330</v>
      </c>
      <c r="CV169" s="127" t="str">
        <f t="shared" si="62"/>
        <v> </v>
      </c>
      <c r="CW169" s="127" t="str">
        <f t="shared" si="63"/>
        <v> </v>
      </c>
      <c r="CX169" s="127" t="str">
        <f t="shared" si="64"/>
        <v> </v>
      </c>
      <c r="CY169" s="127" t="str">
        <f t="shared" si="65"/>
        <v> </v>
      </c>
      <c r="CZ169" s="127" t="str">
        <f t="shared" si="66"/>
        <v> </v>
      </c>
      <c r="DA169" s="127" t="str">
        <f t="shared" si="67"/>
        <v> </v>
      </c>
      <c r="DB169" s="127" t="str">
        <f t="shared" si="68"/>
        <v> </v>
      </c>
      <c r="DC169" s="127" t="str">
        <f t="shared" si="69"/>
        <v> </v>
      </c>
      <c r="DD169" s="127" t="str">
        <f t="shared" si="70"/>
        <v> </v>
      </c>
      <c r="DE169" s="127" t="str">
        <f t="shared" si="71"/>
        <v> </v>
      </c>
      <c r="DF169" s="127" t="str">
        <f t="shared" si="72"/>
        <v> </v>
      </c>
      <c r="DG169" s="127" t="str">
        <f t="shared" si="73"/>
        <v> </v>
      </c>
      <c r="DH169" s="127" t="str">
        <f t="shared" si="74"/>
        <v> </v>
      </c>
      <c r="DI169" s="127" t="str">
        <f t="shared" si="75"/>
        <v> </v>
      </c>
      <c r="DJ169" s="127" t="str">
        <f t="shared" si="76"/>
        <v> </v>
      </c>
      <c r="DK169" s="127" t="str">
        <f t="shared" si="77"/>
        <v> </v>
      </c>
      <c r="DL169" s="127" t="str">
        <f t="shared" si="78"/>
        <v> </v>
      </c>
      <c r="DM169" s="127" t="str">
        <f t="shared" si="79"/>
        <v> </v>
      </c>
      <c r="DN169" s="127" t="str">
        <f t="shared" si="80"/>
        <v> </v>
      </c>
      <c r="DO169" s="127" t="str">
        <f t="shared" si="81"/>
        <v> </v>
      </c>
      <c r="DP169" s="127" t="str">
        <f t="shared" si="82"/>
        <v> </v>
      </c>
      <c r="DQ169" s="127" t="str">
        <f t="shared" si="83"/>
        <v> </v>
      </c>
      <c r="DR169" s="127" t="str">
        <f t="shared" si="84"/>
        <v> </v>
      </c>
      <c r="DS169" s="127" t="str">
        <f t="shared" si="85"/>
        <v> </v>
      </c>
      <c r="DT169" s="127" t="str">
        <f t="shared" si="86"/>
        <v> </v>
      </c>
      <c r="DU169" s="127" t="str">
        <f t="shared" si="87"/>
        <v> </v>
      </c>
      <c r="DV169" s="127" t="str">
        <f t="shared" si="88"/>
        <v> </v>
      </c>
      <c r="DW169" s="127"/>
    </row>
    <row r="170" spans="3:127" ht="12.75" hidden="1">
      <c r="C170" s="111"/>
      <c r="F170" s="164"/>
      <c r="G170" s="164"/>
      <c r="H170" s="164"/>
      <c r="S170" s="432"/>
      <c r="T170" s="127">
        <f t="shared" si="48"/>
        <v>40628.01</v>
      </c>
      <c r="U170" s="13">
        <f t="shared" si="123"/>
        <v>40628.01</v>
      </c>
      <c r="V170" s="455">
        <f>IF(T170=C174," ",T170)</f>
        <v>40628.01</v>
      </c>
      <c r="W170" s="455">
        <f>IF(V170=C173," ",V170)</f>
        <v>40628.01</v>
      </c>
      <c r="X170" s="455">
        <f>IF(W170=C172," ",W170)</f>
        <v>40628.01</v>
      </c>
      <c r="Y170" s="455">
        <f>IF(X170=C171," ",X170)</f>
        <v>40628.01</v>
      </c>
      <c r="Z170" s="455">
        <f>IF(Y170=C170," ",Y170)</f>
        <v>40628.01</v>
      </c>
      <c r="AA170" s="455">
        <f>IF(Z170=C169," ",Z170)</f>
        <v>40628.01</v>
      </c>
      <c r="AB170" s="455">
        <f>IF(AA170=C168," ",AA170)</f>
        <v>40628.01</v>
      </c>
      <c r="AC170" s="455">
        <f>IF(AB170=C167," ",AB170)</f>
        <v>40628.01</v>
      </c>
      <c r="AD170" s="455">
        <f>IF(AC170=C166," ",AC170)</f>
        <v>40628.01</v>
      </c>
      <c r="AE170" s="455">
        <f>IF(AD170=C165," ",AD170)</f>
        <v>40628.01</v>
      </c>
      <c r="AF170" s="455">
        <f>IF(C164=AE170," ",AE170)</f>
        <v>40628.01</v>
      </c>
      <c r="AG170" s="455">
        <f>IF(C163=AF170," ",AF170)</f>
        <v>40628.01</v>
      </c>
      <c r="AH170" s="455">
        <f>IF(C162=AG170," ",AG170)</f>
        <v>40628.01</v>
      </c>
      <c r="AI170" s="455">
        <f>IF(AH170=C161," ",AH170)</f>
        <v>40628.01</v>
      </c>
      <c r="AJ170" s="455">
        <f>IF(AI170=C160," ",AI170)</f>
        <v>40628.01</v>
      </c>
      <c r="AK170" s="455">
        <f>IF(AJ170=C159," ",AJ170)</f>
        <v>40628.01</v>
      </c>
      <c r="AL170" s="455">
        <f>IF(AK170=C158," ",AK170)</f>
        <v>40628.01</v>
      </c>
      <c r="AM170" s="111">
        <f t="shared" si="49"/>
        <v>40818.01</v>
      </c>
      <c r="AN170">
        <v>14</v>
      </c>
      <c r="AP170">
        <v>1985</v>
      </c>
      <c r="AX170" s="111">
        <f t="shared" si="54"/>
        <v>40210</v>
      </c>
      <c r="AY170" s="111">
        <f t="shared" si="89"/>
        <v>40210</v>
      </c>
      <c r="AZ170" s="111">
        <f t="shared" si="90"/>
        <v>40210</v>
      </c>
      <c r="BA170" s="127">
        <f t="shared" si="91"/>
        <v>40817.01</v>
      </c>
      <c r="BB170" s="127">
        <v>40360</v>
      </c>
      <c r="BC170" s="127">
        <f t="shared" si="55"/>
        <v>40360</v>
      </c>
      <c r="BD170" s="127">
        <f>IF(BC170&gt;BA170,AX165,BC170)</f>
        <v>40360</v>
      </c>
      <c r="BE170" s="127">
        <f t="shared" si="92"/>
        <v>40210</v>
      </c>
      <c r="BF170" s="127">
        <f t="shared" si="93"/>
        <v>40238</v>
      </c>
      <c r="BG170" s="127">
        <f t="shared" si="94"/>
        <v>40269</v>
      </c>
      <c r="BH170" s="127">
        <f t="shared" si="95"/>
        <v>40299</v>
      </c>
      <c r="BI170" s="127"/>
      <c r="BJ170" s="111">
        <v>40866</v>
      </c>
      <c r="BK170" s="127">
        <v>39747</v>
      </c>
      <c r="BL170" s="127"/>
      <c r="BM170" s="127"/>
      <c r="BN170" s="127"/>
      <c r="BO170" s="127"/>
      <c r="BP170" s="127"/>
      <c r="BQ170" s="127">
        <f t="shared" si="96"/>
        <v>40330</v>
      </c>
      <c r="BR170" s="127">
        <f t="shared" si="97"/>
        <v>40360</v>
      </c>
      <c r="BS170" s="127">
        <f t="shared" si="98"/>
        <v>40391</v>
      </c>
      <c r="BT170" s="127">
        <f t="shared" si="99"/>
        <v>40422</v>
      </c>
      <c r="BU170" s="127">
        <f t="shared" si="100"/>
        <v>40452</v>
      </c>
      <c r="BV170" s="127">
        <f t="shared" si="101"/>
        <v>40483</v>
      </c>
      <c r="BW170" s="127">
        <f t="shared" si="102"/>
        <v>40513</v>
      </c>
      <c r="BX170" s="127">
        <f t="shared" si="103"/>
        <v>40544</v>
      </c>
      <c r="BY170" s="127">
        <f t="shared" si="104"/>
        <v>40575</v>
      </c>
      <c r="BZ170" s="127">
        <f t="shared" si="105"/>
        <v>40603</v>
      </c>
      <c r="CA170" s="127">
        <f t="shared" si="106"/>
        <v>40628.01</v>
      </c>
      <c r="CB170" s="127">
        <f t="shared" si="107"/>
        <v>40634</v>
      </c>
      <c r="CC170" s="127">
        <f t="shared" si="108"/>
        <v>40664</v>
      </c>
      <c r="CD170" s="127">
        <f t="shared" si="109"/>
        <v>40695</v>
      </c>
      <c r="CE170" s="127">
        <f t="shared" si="110"/>
        <v>40725</v>
      </c>
      <c r="CF170" s="127">
        <f t="shared" si="111"/>
        <v>40756</v>
      </c>
      <c r="CG170" s="127">
        <f t="shared" si="112"/>
        <v>40787</v>
      </c>
      <c r="CH170" s="127">
        <f t="shared" si="113"/>
        <v>40817</v>
      </c>
      <c r="CI170" s="127">
        <f t="shared" si="114"/>
        <v>0</v>
      </c>
      <c r="CJ170" s="127">
        <f t="shared" si="115"/>
        <v>0</v>
      </c>
      <c r="CK170" s="127">
        <f t="shared" si="116"/>
        <v>0</v>
      </c>
      <c r="CL170" s="127">
        <f t="shared" si="117"/>
        <v>0</v>
      </c>
      <c r="CM170" s="127">
        <f t="shared" si="118"/>
        <v>0</v>
      </c>
      <c r="CN170" s="127">
        <f t="shared" si="119"/>
        <v>0</v>
      </c>
      <c r="CO170" s="127">
        <f t="shared" si="120"/>
        <v>0</v>
      </c>
      <c r="CP170" s="127">
        <f t="shared" si="121"/>
        <v>0</v>
      </c>
      <c r="CQ170" s="127">
        <f t="shared" si="122"/>
        <v>0</v>
      </c>
      <c r="CR170" s="127">
        <f t="shared" si="58"/>
        <v>40360</v>
      </c>
      <c r="CS170" s="127">
        <f t="shared" si="59"/>
        <v>40360</v>
      </c>
      <c r="CT170" s="127">
        <f t="shared" si="60"/>
        <v>40360</v>
      </c>
      <c r="CU170" s="127">
        <f t="shared" si="61"/>
        <v>40360</v>
      </c>
      <c r="CV170" s="127">
        <f t="shared" si="62"/>
        <v>40360</v>
      </c>
      <c r="CW170" s="127" t="str">
        <f t="shared" si="63"/>
        <v> </v>
      </c>
      <c r="CX170" s="127" t="str">
        <f t="shared" si="64"/>
        <v> </v>
      </c>
      <c r="CY170" s="127" t="str">
        <f t="shared" si="65"/>
        <v> </v>
      </c>
      <c r="CZ170" s="127" t="str">
        <f t="shared" si="66"/>
        <v> </v>
      </c>
      <c r="DA170" s="127" t="str">
        <f t="shared" si="67"/>
        <v> </v>
      </c>
      <c r="DB170" s="127" t="str">
        <f t="shared" si="68"/>
        <v> </v>
      </c>
      <c r="DC170" s="127" t="str">
        <f t="shared" si="69"/>
        <v> </v>
      </c>
      <c r="DD170" s="127" t="str">
        <f t="shared" si="70"/>
        <v> </v>
      </c>
      <c r="DE170" s="127" t="str">
        <f t="shared" si="71"/>
        <v> </v>
      </c>
      <c r="DF170" s="127" t="str">
        <f t="shared" si="72"/>
        <v> </v>
      </c>
      <c r="DG170" s="127" t="str">
        <f t="shared" si="73"/>
        <v> </v>
      </c>
      <c r="DH170" s="127" t="str">
        <f t="shared" si="74"/>
        <v> </v>
      </c>
      <c r="DI170" s="127" t="str">
        <f t="shared" si="75"/>
        <v> </v>
      </c>
      <c r="DJ170" s="127" t="str">
        <f t="shared" si="76"/>
        <v> </v>
      </c>
      <c r="DK170" s="127" t="str">
        <f t="shared" si="77"/>
        <v> </v>
      </c>
      <c r="DL170" s="127" t="str">
        <f t="shared" si="78"/>
        <v> </v>
      </c>
      <c r="DM170" s="127" t="str">
        <f t="shared" si="79"/>
        <v> </v>
      </c>
      <c r="DN170" s="127" t="str">
        <f t="shared" si="80"/>
        <v> </v>
      </c>
      <c r="DO170" s="127" t="str">
        <f t="shared" si="81"/>
        <v> </v>
      </c>
      <c r="DP170" s="127" t="str">
        <f t="shared" si="82"/>
        <v> </v>
      </c>
      <c r="DQ170" s="127" t="str">
        <f t="shared" si="83"/>
        <v> </v>
      </c>
      <c r="DR170" s="127" t="str">
        <f t="shared" si="84"/>
        <v> </v>
      </c>
      <c r="DS170" s="127" t="str">
        <f t="shared" si="85"/>
        <v> </v>
      </c>
      <c r="DT170" s="127" t="str">
        <f t="shared" si="86"/>
        <v> </v>
      </c>
      <c r="DU170" s="127" t="str">
        <f t="shared" si="87"/>
        <v> </v>
      </c>
      <c r="DV170" s="127" t="str">
        <f t="shared" si="88"/>
        <v> </v>
      </c>
      <c r="DW170" s="127"/>
    </row>
    <row r="171" spans="3:127" ht="12.75" hidden="1">
      <c r="C171" s="111"/>
      <c r="F171" s="164"/>
      <c r="G171" s="164"/>
      <c r="H171" s="164"/>
      <c r="S171" s="432"/>
      <c r="T171" s="127">
        <f t="shared" si="48"/>
        <v>40628.01</v>
      </c>
      <c r="U171" s="13">
        <f t="shared" si="123"/>
        <v>40628.01</v>
      </c>
      <c r="V171" s="455">
        <f>IF(T171=C174," ",T171)</f>
        <v>40628.01</v>
      </c>
      <c r="W171" s="455">
        <f>IF(V171=C173," ",V171)</f>
        <v>40628.01</v>
      </c>
      <c r="X171" s="455">
        <f>IF(W171=C172," ",W171)</f>
        <v>40628.01</v>
      </c>
      <c r="Y171" s="455">
        <f>IF(X171=C171," ",X171)</f>
        <v>40628.01</v>
      </c>
      <c r="Z171" s="455">
        <f>IF(Y171=C170," ",Y171)</f>
        <v>40628.01</v>
      </c>
      <c r="AA171" s="455">
        <f>IF(Z171=C169," ",Z171)</f>
        <v>40628.01</v>
      </c>
      <c r="AB171" s="455">
        <f>IF(AA171=C168," ",AA171)</f>
        <v>40628.01</v>
      </c>
      <c r="AC171" s="455">
        <f>IF(AB171=C167," ",AB171)</f>
        <v>40628.01</v>
      </c>
      <c r="AD171" s="455">
        <f>IF(AC171=C166," ",AC171)</f>
        <v>40628.01</v>
      </c>
      <c r="AE171" s="455">
        <f>IF(AD171=C165," ",AD171)</f>
        <v>40628.01</v>
      </c>
      <c r="AF171" s="455">
        <f>IF(C164=AE171," ",AE171)</f>
        <v>40628.01</v>
      </c>
      <c r="AG171" s="455">
        <f>IF(C163=AF171," ",AF171)</f>
        <v>40628.01</v>
      </c>
      <c r="AH171" s="455">
        <f>IF(C162=AG171," ",AG171)</f>
        <v>40628.01</v>
      </c>
      <c r="AI171" s="455">
        <f>IF(AH171=C161," ",AH171)</f>
        <v>40628.01</v>
      </c>
      <c r="AJ171" s="455">
        <f>IF(AI171=C160," ",AI171)</f>
        <v>40628.01</v>
      </c>
      <c r="AK171" s="455">
        <f>IF(AJ171=C159," ",AJ171)</f>
        <v>40628.01</v>
      </c>
      <c r="AL171" s="455">
        <f>IF(AK171=C158," ",AK171)</f>
        <v>40628.01</v>
      </c>
      <c r="AM171" s="111">
        <f t="shared" si="49"/>
        <v>40818.01</v>
      </c>
      <c r="AN171">
        <v>15</v>
      </c>
      <c r="AP171">
        <v>1986</v>
      </c>
      <c r="AX171" s="111">
        <f t="shared" si="54"/>
        <v>40210</v>
      </c>
      <c r="AY171" s="111">
        <f t="shared" si="89"/>
        <v>40210</v>
      </c>
      <c r="AZ171" s="111">
        <f t="shared" si="90"/>
        <v>40210</v>
      </c>
      <c r="BA171" s="127">
        <f t="shared" si="91"/>
        <v>40817.01</v>
      </c>
      <c r="BB171" s="127">
        <v>40391</v>
      </c>
      <c r="BC171" s="127">
        <f t="shared" si="55"/>
        <v>40391</v>
      </c>
      <c r="BD171" s="127">
        <f>IF(BC171&gt;BA171,AX165,BC171)</f>
        <v>40391</v>
      </c>
      <c r="BE171" s="127">
        <f t="shared" si="92"/>
        <v>40210</v>
      </c>
      <c r="BF171" s="127">
        <f t="shared" si="93"/>
        <v>40238</v>
      </c>
      <c r="BG171" s="127">
        <f t="shared" si="94"/>
        <v>40269</v>
      </c>
      <c r="BH171" s="127">
        <f t="shared" si="95"/>
        <v>40299</v>
      </c>
      <c r="BI171" s="127"/>
      <c r="BJ171" s="111">
        <v>40867</v>
      </c>
      <c r="BK171" s="127">
        <v>39748</v>
      </c>
      <c r="BL171" s="127"/>
      <c r="BM171" s="127"/>
      <c r="BN171" s="127"/>
      <c r="BO171" s="127"/>
      <c r="BP171" s="127"/>
      <c r="BQ171" s="127">
        <f t="shared" si="96"/>
        <v>40330</v>
      </c>
      <c r="BR171" s="127">
        <f t="shared" si="97"/>
        <v>40360</v>
      </c>
      <c r="BS171" s="127">
        <f t="shared" si="98"/>
        <v>40391</v>
      </c>
      <c r="BT171" s="127">
        <f t="shared" si="99"/>
        <v>40422</v>
      </c>
      <c r="BU171" s="127">
        <f t="shared" si="100"/>
        <v>40452</v>
      </c>
      <c r="BV171" s="127">
        <f t="shared" si="101"/>
        <v>40483</v>
      </c>
      <c r="BW171" s="127">
        <f t="shared" si="102"/>
        <v>40513</v>
      </c>
      <c r="BX171" s="127">
        <f t="shared" si="103"/>
        <v>40544</v>
      </c>
      <c r="BY171" s="127">
        <f t="shared" si="104"/>
        <v>40575</v>
      </c>
      <c r="BZ171" s="127">
        <f t="shared" si="105"/>
        <v>40603</v>
      </c>
      <c r="CA171" s="127">
        <f t="shared" si="106"/>
        <v>40628.01</v>
      </c>
      <c r="CB171" s="127">
        <f t="shared" si="107"/>
        <v>40634</v>
      </c>
      <c r="CC171" s="127">
        <f t="shared" si="108"/>
        <v>40664</v>
      </c>
      <c r="CD171" s="127">
        <f t="shared" si="109"/>
        <v>40695</v>
      </c>
      <c r="CE171" s="127">
        <f t="shared" si="110"/>
        <v>40725</v>
      </c>
      <c r="CF171" s="127">
        <f t="shared" si="111"/>
        <v>40756</v>
      </c>
      <c r="CG171" s="127">
        <f t="shared" si="112"/>
        <v>40787</v>
      </c>
      <c r="CH171" s="127">
        <f t="shared" si="113"/>
        <v>40817</v>
      </c>
      <c r="CI171" s="127">
        <f t="shared" si="114"/>
        <v>0</v>
      </c>
      <c r="CJ171" s="127">
        <f t="shared" si="115"/>
        <v>0</v>
      </c>
      <c r="CK171" s="127">
        <f t="shared" si="116"/>
        <v>0</v>
      </c>
      <c r="CL171" s="127">
        <f t="shared" si="117"/>
        <v>0</v>
      </c>
      <c r="CM171" s="127">
        <f t="shared" si="118"/>
        <v>0</v>
      </c>
      <c r="CN171" s="127">
        <f t="shared" si="119"/>
        <v>0</v>
      </c>
      <c r="CO171" s="127">
        <f t="shared" si="120"/>
        <v>0</v>
      </c>
      <c r="CP171" s="127">
        <f t="shared" si="121"/>
        <v>0</v>
      </c>
      <c r="CQ171" s="127">
        <f t="shared" si="122"/>
        <v>0</v>
      </c>
      <c r="CR171" s="127">
        <f t="shared" si="58"/>
        <v>40391</v>
      </c>
      <c r="CS171" s="127">
        <f t="shared" si="59"/>
        <v>40391</v>
      </c>
      <c r="CT171" s="127">
        <f t="shared" si="60"/>
        <v>40391</v>
      </c>
      <c r="CU171" s="127">
        <f t="shared" si="61"/>
        <v>40391</v>
      </c>
      <c r="CV171" s="127">
        <f t="shared" si="62"/>
        <v>40391</v>
      </c>
      <c r="CW171" s="127">
        <f t="shared" si="63"/>
        <v>40391</v>
      </c>
      <c r="CX171" s="127" t="str">
        <f t="shared" si="64"/>
        <v> </v>
      </c>
      <c r="CY171" s="127" t="str">
        <f t="shared" si="65"/>
        <v> </v>
      </c>
      <c r="CZ171" s="127" t="str">
        <f t="shared" si="66"/>
        <v> </v>
      </c>
      <c r="DA171" s="127" t="str">
        <f t="shared" si="67"/>
        <v> </v>
      </c>
      <c r="DB171" s="127" t="str">
        <f t="shared" si="68"/>
        <v> </v>
      </c>
      <c r="DC171" s="127" t="str">
        <f t="shared" si="69"/>
        <v> </v>
      </c>
      <c r="DD171" s="127" t="str">
        <f t="shared" si="70"/>
        <v> </v>
      </c>
      <c r="DE171" s="127" t="str">
        <f t="shared" si="71"/>
        <v> </v>
      </c>
      <c r="DF171" s="127" t="str">
        <f t="shared" si="72"/>
        <v> </v>
      </c>
      <c r="DG171" s="127" t="str">
        <f t="shared" si="73"/>
        <v> </v>
      </c>
      <c r="DH171" s="127" t="str">
        <f t="shared" si="74"/>
        <v> </v>
      </c>
      <c r="DI171" s="127" t="str">
        <f t="shared" si="75"/>
        <v> </v>
      </c>
      <c r="DJ171" s="127" t="str">
        <f t="shared" si="76"/>
        <v> </v>
      </c>
      <c r="DK171" s="127" t="str">
        <f t="shared" si="77"/>
        <v> </v>
      </c>
      <c r="DL171" s="127" t="str">
        <f t="shared" si="78"/>
        <v> </v>
      </c>
      <c r="DM171" s="127" t="str">
        <f t="shared" si="79"/>
        <v> </v>
      </c>
      <c r="DN171" s="127" t="str">
        <f t="shared" si="80"/>
        <v> </v>
      </c>
      <c r="DO171" s="127" t="str">
        <f t="shared" si="81"/>
        <v> </v>
      </c>
      <c r="DP171" s="127" t="str">
        <f t="shared" si="82"/>
        <v> </v>
      </c>
      <c r="DQ171" s="127" t="str">
        <f t="shared" si="83"/>
        <v> </v>
      </c>
      <c r="DR171" s="127" t="str">
        <f t="shared" si="84"/>
        <v> </v>
      </c>
      <c r="DS171" s="127" t="str">
        <f t="shared" si="85"/>
        <v> </v>
      </c>
      <c r="DT171" s="127" t="str">
        <f t="shared" si="86"/>
        <v> </v>
      </c>
      <c r="DU171" s="127" t="str">
        <f t="shared" si="87"/>
        <v> </v>
      </c>
      <c r="DV171" s="127" t="str">
        <f t="shared" si="88"/>
        <v> </v>
      </c>
      <c r="DW171" s="127"/>
    </row>
    <row r="172" spans="3:127" ht="12.75" hidden="1">
      <c r="C172" s="111"/>
      <c r="F172" s="164"/>
      <c r="G172" s="164"/>
      <c r="H172" s="164"/>
      <c r="S172" s="432"/>
      <c r="T172" s="127">
        <f t="shared" si="48"/>
        <v>40628.01</v>
      </c>
      <c r="U172" s="13">
        <f t="shared" si="123"/>
        <v>40628.01</v>
      </c>
      <c r="V172" s="455">
        <f>IF(T172=C174," ",T172)</f>
        <v>40628.01</v>
      </c>
      <c r="W172" s="455">
        <f>IF(V172=C173," ",V172)</f>
        <v>40628.01</v>
      </c>
      <c r="X172" s="455">
        <f>IF(W172=C172," ",W172)</f>
        <v>40628.01</v>
      </c>
      <c r="Y172" s="455">
        <f>IF(X172=C171," ",X172)</f>
        <v>40628.01</v>
      </c>
      <c r="Z172" s="455">
        <f>IF(Y172=C170," ",Y172)</f>
        <v>40628.01</v>
      </c>
      <c r="AA172" s="455">
        <f>IF(Z172=C169," ",Z172)</f>
        <v>40628.01</v>
      </c>
      <c r="AB172" s="455">
        <f>IF(AA172=C168," ",AA172)</f>
        <v>40628.01</v>
      </c>
      <c r="AC172" s="455">
        <f>IF(AB172=C167," ",AB172)</f>
        <v>40628.01</v>
      </c>
      <c r="AD172" s="455">
        <f>IF(AC172=C166," ",AC172)</f>
        <v>40628.01</v>
      </c>
      <c r="AE172" s="455">
        <f>IF(AD172=C165," ",AD172)</f>
        <v>40628.01</v>
      </c>
      <c r="AF172" s="455">
        <f>IF(C164=AE172," ",AE172)</f>
        <v>40628.01</v>
      </c>
      <c r="AG172" s="455">
        <f>IF(C163=AF172," ",AF172)</f>
        <v>40628.01</v>
      </c>
      <c r="AH172" s="455">
        <f>IF(C162=AG172," ",AG172)</f>
        <v>40628.01</v>
      </c>
      <c r="AI172" s="455">
        <f>IF(AH172=C161," ",AH172)</f>
        <v>40628.01</v>
      </c>
      <c r="AJ172" s="455">
        <f>IF(AI172=C160," ",AI172)</f>
        <v>40628.01</v>
      </c>
      <c r="AK172" s="455">
        <f>IF(AJ172=C159," ",AJ172)</f>
        <v>40628.01</v>
      </c>
      <c r="AL172" s="455">
        <f>IF(AK172=C158," ",AK172)</f>
        <v>40628.01</v>
      </c>
      <c r="AM172" s="111">
        <f t="shared" si="49"/>
        <v>40818.01</v>
      </c>
      <c r="AN172">
        <v>16</v>
      </c>
      <c r="AP172">
        <v>1987</v>
      </c>
      <c r="AX172" s="111">
        <f t="shared" si="54"/>
        <v>40210</v>
      </c>
      <c r="AY172" s="111">
        <f t="shared" si="89"/>
        <v>40210</v>
      </c>
      <c r="AZ172" s="111">
        <f t="shared" si="90"/>
        <v>40210</v>
      </c>
      <c r="BA172" s="127">
        <f t="shared" si="91"/>
        <v>40817.01</v>
      </c>
      <c r="BB172" s="127">
        <v>40422</v>
      </c>
      <c r="BC172" s="127">
        <f t="shared" si="55"/>
        <v>40422</v>
      </c>
      <c r="BD172" s="127">
        <f>IF(BC172&gt;BA172,AX165,BC172)</f>
        <v>40422</v>
      </c>
      <c r="BE172" s="127">
        <f t="shared" si="92"/>
        <v>40210</v>
      </c>
      <c r="BF172" s="127">
        <f t="shared" si="93"/>
        <v>40238</v>
      </c>
      <c r="BG172" s="127">
        <f t="shared" si="94"/>
        <v>40269</v>
      </c>
      <c r="BH172" s="127">
        <f t="shared" si="95"/>
        <v>40299</v>
      </c>
      <c r="BI172" s="127"/>
      <c r="BJ172" s="111">
        <v>40868</v>
      </c>
      <c r="BK172" s="127">
        <v>39749</v>
      </c>
      <c r="BL172" s="127"/>
      <c r="BM172" s="127"/>
      <c r="BN172" s="127"/>
      <c r="BO172" s="127"/>
      <c r="BP172" s="127"/>
      <c r="BQ172" s="127">
        <f t="shared" si="96"/>
        <v>40330</v>
      </c>
      <c r="BR172" s="127">
        <f t="shared" si="97"/>
        <v>40360</v>
      </c>
      <c r="BS172" s="127">
        <f t="shared" si="98"/>
        <v>40391</v>
      </c>
      <c r="BT172" s="127">
        <f t="shared" si="99"/>
        <v>40422</v>
      </c>
      <c r="BU172" s="127">
        <f t="shared" si="100"/>
        <v>40452</v>
      </c>
      <c r="BV172" s="127">
        <f t="shared" si="101"/>
        <v>40483</v>
      </c>
      <c r="BW172" s="127">
        <f t="shared" si="102"/>
        <v>40513</v>
      </c>
      <c r="BX172" s="127">
        <f t="shared" si="103"/>
        <v>40544</v>
      </c>
      <c r="BY172" s="127">
        <f t="shared" si="104"/>
        <v>40575</v>
      </c>
      <c r="BZ172" s="127">
        <f t="shared" si="105"/>
        <v>40603</v>
      </c>
      <c r="CA172" s="127">
        <f t="shared" si="106"/>
        <v>40628.01</v>
      </c>
      <c r="CB172" s="127">
        <f t="shared" si="107"/>
        <v>40634</v>
      </c>
      <c r="CC172" s="127">
        <f t="shared" si="108"/>
        <v>40664</v>
      </c>
      <c r="CD172" s="127">
        <f t="shared" si="109"/>
        <v>40695</v>
      </c>
      <c r="CE172" s="127">
        <f t="shared" si="110"/>
        <v>40725</v>
      </c>
      <c r="CF172" s="127">
        <f t="shared" si="111"/>
        <v>40756</v>
      </c>
      <c r="CG172" s="127">
        <f t="shared" si="112"/>
        <v>40787</v>
      </c>
      <c r="CH172" s="127">
        <f t="shared" si="113"/>
        <v>40817</v>
      </c>
      <c r="CI172" s="127">
        <f t="shared" si="114"/>
        <v>0</v>
      </c>
      <c r="CJ172" s="127">
        <f t="shared" si="115"/>
        <v>0</v>
      </c>
      <c r="CK172" s="127">
        <f t="shared" si="116"/>
        <v>0</v>
      </c>
      <c r="CL172" s="127">
        <f t="shared" si="117"/>
        <v>0</v>
      </c>
      <c r="CM172" s="127">
        <f t="shared" si="118"/>
        <v>0</v>
      </c>
      <c r="CN172" s="127">
        <f t="shared" si="119"/>
        <v>0</v>
      </c>
      <c r="CO172" s="127">
        <f t="shared" si="120"/>
        <v>0</v>
      </c>
      <c r="CP172" s="127">
        <f t="shared" si="121"/>
        <v>0</v>
      </c>
      <c r="CQ172" s="127">
        <f t="shared" si="122"/>
        <v>0</v>
      </c>
      <c r="CR172" s="127">
        <f t="shared" si="58"/>
        <v>40422</v>
      </c>
      <c r="CS172" s="127">
        <f t="shared" si="59"/>
        <v>40422</v>
      </c>
      <c r="CT172" s="127">
        <f t="shared" si="60"/>
        <v>40422</v>
      </c>
      <c r="CU172" s="127">
        <f t="shared" si="61"/>
        <v>40422</v>
      </c>
      <c r="CV172" s="127">
        <f t="shared" si="62"/>
        <v>40422</v>
      </c>
      <c r="CW172" s="127">
        <f t="shared" si="63"/>
        <v>40422</v>
      </c>
      <c r="CX172" s="127">
        <f t="shared" si="64"/>
        <v>40422</v>
      </c>
      <c r="CY172" s="127" t="str">
        <f t="shared" si="65"/>
        <v> </v>
      </c>
      <c r="CZ172" s="127" t="str">
        <f t="shared" si="66"/>
        <v> </v>
      </c>
      <c r="DA172" s="127" t="str">
        <f t="shared" si="67"/>
        <v> </v>
      </c>
      <c r="DB172" s="127" t="str">
        <f t="shared" si="68"/>
        <v> </v>
      </c>
      <c r="DC172" s="127" t="str">
        <f t="shared" si="69"/>
        <v> </v>
      </c>
      <c r="DD172" s="127" t="str">
        <f t="shared" si="70"/>
        <v> </v>
      </c>
      <c r="DE172" s="127" t="str">
        <f t="shared" si="71"/>
        <v> </v>
      </c>
      <c r="DF172" s="127" t="str">
        <f t="shared" si="72"/>
        <v> </v>
      </c>
      <c r="DG172" s="127" t="str">
        <f t="shared" si="73"/>
        <v> </v>
      </c>
      <c r="DH172" s="127" t="str">
        <f t="shared" si="74"/>
        <v> </v>
      </c>
      <c r="DI172" s="127" t="str">
        <f t="shared" si="75"/>
        <v> </v>
      </c>
      <c r="DJ172" s="127" t="str">
        <f t="shared" si="76"/>
        <v> </v>
      </c>
      <c r="DK172" s="127" t="str">
        <f t="shared" si="77"/>
        <v> </v>
      </c>
      <c r="DL172" s="127" t="str">
        <f t="shared" si="78"/>
        <v> </v>
      </c>
      <c r="DM172" s="127" t="str">
        <f t="shared" si="79"/>
        <v> </v>
      </c>
      <c r="DN172" s="127" t="str">
        <f t="shared" si="80"/>
        <v> </v>
      </c>
      <c r="DO172" s="127" t="str">
        <f t="shared" si="81"/>
        <v> </v>
      </c>
      <c r="DP172" s="127" t="str">
        <f t="shared" si="82"/>
        <v> </v>
      </c>
      <c r="DQ172" s="127" t="str">
        <f t="shared" si="83"/>
        <v> </v>
      </c>
      <c r="DR172" s="127" t="str">
        <f t="shared" si="84"/>
        <v> </v>
      </c>
      <c r="DS172" s="127" t="str">
        <f t="shared" si="85"/>
        <v> </v>
      </c>
      <c r="DT172" s="127" t="str">
        <f t="shared" si="86"/>
        <v> </v>
      </c>
      <c r="DU172" s="127" t="str">
        <f t="shared" si="87"/>
        <v> </v>
      </c>
      <c r="DV172" s="127" t="str">
        <f t="shared" si="88"/>
        <v> </v>
      </c>
      <c r="DW172" s="127"/>
    </row>
    <row r="173" spans="3:127" ht="12.75" hidden="1">
      <c r="C173" s="111"/>
      <c r="F173" s="164"/>
      <c r="G173" s="164"/>
      <c r="H173" s="164"/>
      <c r="S173" s="432"/>
      <c r="T173" s="127">
        <f t="shared" si="48"/>
        <v>40628.01</v>
      </c>
      <c r="U173" s="13">
        <f t="shared" si="123"/>
        <v>40628.01</v>
      </c>
      <c r="V173" s="455">
        <f>IF(T173=C174," ",T173)</f>
        <v>40628.01</v>
      </c>
      <c r="W173" s="455">
        <f>IF(V173=C173," ",V173)</f>
        <v>40628.01</v>
      </c>
      <c r="X173" s="455">
        <f>IF(W173=C172," ",W173)</f>
        <v>40628.01</v>
      </c>
      <c r="Y173" s="455">
        <f>IF(X173=C171," ",X173)</f>
        <v>40628.01</v>
      </c>
      <c r="Z173" s="455">
        <f>IF(Y173=C170," ",Y173)</f>
        <v>40628.01</v>
      </c>
      <c r="AA173" s="455">
        <f>IF(Z173=C169," ",Z173)</f>
        <v>40628.01</v>
      </c>
      <c r="AB173" s="455">
        <f>IF(AA173=C168," ",AA173)</f>
        <v>40628.01</v>
      </c>
      <c r="AC173" s="455">
        <f>IF(AB173=C167," ",AB173)</f>
        <v>40628.01</v>
      </c>
      <c r="AD173" s="455">
        <f>IF(AC173=C166," ",AC173)</f>
        <v>40628.01</v>
      </c>
      <c r="AE173" s="455">
        <f>IF(AD173=C165," ",AD173)</f>
        <v>40628.01</v>
      </c>
      <c r="AF173" s="455">
        <f>IF(C164=AE173," ",AE173)</f>
        <v>40628.01</v>
      </c>
      <c r="AG173" s="455">
        <f>IF(C1743=AF173," ",AF173)</f>
        <v>40628.01</v>
      </c>
      <c r="AH173" s="455">
        <f>IF(C162=AG173," ",AG173)</f>
        <v>40628.01</v>
      </c>
      <c r="AI173" s="455">
        <f>IF(AH173=C161," ",AH173)</f>
        <v>40628.01</v>
      </c>
      <c r="AJ173" s="455">
        <f>IF(AI173=C160," ",AI173)</f>
        <v>40628.01</v>
      </c>
      <c r="AK173" s="455">
        <f>IF(AJ173=C159," ",AJ173)</f>
        <v>40628.01</v>
      </c>
      <c r="AL173" s="455">
        <f>IF(AK173=C158," ",AK173)</f>
        <v>40628.01</v>
      </c>
      <c r="AM173" s="111">
        <f t="shared" si="49"/>
        <v>40818.01</v>
      </c>
      <c r="AN173">
        <v>17</v>
      </c>
      <c r="AP173">
        <v>1988</v>
      </c>
      <c r="AX173" s="111">
        <f t="shared" si="54"/>
        <v>40210</v>
      </c>
      <c r="AY173" s="111">
        <f t="shared" si="89"/>
        <v>40210</v>
      </c>
      <c r="AZ173" s="111">
        <f t="shared" si="90"/>
        <v>40210</v>
      </c>
      <c r="BA173" s="127">
        <f t="shared" si="91"/>
        <v>40817.01</v>
      </c>
      <c r="BB173" s="127">
        <v>40452</v>
      </c>
      <c r="BC173" s="127">
        <f t="shared" si="55"/>
        <v>40452</v>
      </c>
      <c r="BD173" s="127">
        <f>IF(BC173&gt;BA173,AX165,BC173)</f>
        <v>40452</v>
      </c>
      <c r="BE173" s="127">
        <f t="shared" si="92"/>
        <v>40210</v>
      </c>
      <c r="BF173" s="127">
        <f t="shared" si="93"/>
        <v>40238</v>
      </c>
      <c r="BG173" s="127">
        <f t="shared" si="94"/>
        <v>40269</v>
      </c>
      <c r="BH173" s="127">
        <f t="shared" si="95"/>
        <v>40299</v>
      </c>
      <c r="BI173" s="127"/>
      <c r="BJ173" s="111">
        <v>40869</v>
      </c>
      <c r="BK173" s="127">
        <v>39750</v>
      </c>
      <c r="BL173" s="127"/>
      <c r="BM173" s="127"/>
      <c r="BN173" s="127"/>
      <c r="BO173" s="127"/>
      <c r="BP173" s="127"/>
      <c r="BQ173" s="127">
        <f t="shared" si="96"/>
        <v>40330</v>
      </c>
      <c r="BR173" s="127">
        <f t="shared" si="97"/>
        <v>40360</v>
      </c>
      <c r="BS173" s="127">
        <f t="shared" si="98"/>
        <v>40391</v>
      </c>
      <c r="BT173" s="127">
        <f t="shared" si="99"/>
        <v>40422</v>
      </c>
      <c r="BU173" s="127">
        <f t="shared" si="100"/>
        <v>40452</v>
      </c>
      <c r="BV173" s="127">
        <f t="shared" si="101"/>
        <v>40483</v>
      </c>
      <c r="BW173" s="127">
        <f t="shared" si="102"/>
        <v>40513</v>
      </c>
      <c r="BX173" s="127">
        <f t="shared" si="103"/>
        <v>40544</v>
      </c>
      <c r="BY173" s="127">
        <f t="shared" si="104"/>
        <v>40575</v>
      </c>
      <c r="BZ173" s="127">
        <f t="shared" si="105"/>
        <v>40603</v>
      </c>
      <c r="CA173" s="127">
        <f t="shared" si="106"/>
        <v>40628.01</v>
      </c>
      <c r="CB173" s="127">
        <f t="shared" si="107"/>
        <v>40634</v>
      </c>
      <c r="CC173" s="127">
        <f t="shared" si="108"/>
        <v>40664</v>
      </c>
      <c r="CD173" s="127">
        <f t="shared" si="109"/>
        <v>40695</v>
      </c>
      <c r="CE173" s="127">
        <f t="shared" si="110"/>
        <v>40725</v>
      </c>
      <c r="CF173" s="127">
        <f t="shared" si="111"/>
        <v>40756</v>
      </c>
      <c r="CG173" s="127">
        <f t="shared" si="112"/>
        <v>40787</v>
      </c>
      <c r="CH173" s="127">
        <f t="shared" si="113"/>
        <v>40817</v>
      </c>
      <c r="CI173" s="127">
        <f t="shared" si="114"/>
        <v>0</v>
      </c>
      <c r="CJ173" s="127">
        <f t="shared" si="115"/>
        <v>0</v>
      </c>
      <c r="CK173" s="127">
        <f t="shared" si="116"/>
        <v>0</v>
      </c>
      <c r="CL173" s="127">
        <f t="shared" si="117"/>
        <v>0</v>
      </c>
      <c r="CM173" s="127">
        <f t="shared" si="118"/>
        <v>0</v>
      </c>
      <c r="CN173" s="127">
        <f t="shared" si="119"/>
        <v>0</v>
      </c>
      <c r="CO173" s="127">
        <f t="shared" si="120"/>
        <v>0</v>
      </c>
      <c r="CP173" s="127">
        <f t="shared" si="121"/>
        <v>0</v>
      </c>
      <c r="CQ173" s="127">
        <f t="shared" si="122"/>
        <v>0</v>
      </c>
      <c r="CR173" s="127">
        <f t="shared" si="58"/>
        <v>40452</v>
      </c>
      <c r="CS173" s="127">
        <f t="shared" si="59"/>
        <v>40452</v>
      </c>
      <c r="CT173" s="127">
        <f t="shared" si="60"/>
        <v>40452</v>
      </c>
      <c r="CU173" s="127">
        <f t="shared" si="61"/>
        <v>40452</v>
      </c>
      <c r="CV173" s="127">
        <f t="shared" si="62"/>
        <v>40452</v>
      </c>
      <c r="CW173" s="127">
        <f t="shared" si="63"/>
        <v>40452</v>
      </c>
      <c r="CX173" s="127">
        <f t="shared" si="64"/>
        <v>40452</v>
      </c>
      <c r="CY173" s="127">
        <f t="shared" si="65"/>
        <v>40452</v>
      </c>
      <c r="CZ173" s="127" t="str">
        <f t="shared" si="66"/>
        <v> </v>
      </c>
      <c r="DA173" s="127" t="str">
        <f t="shared" si="67"/>
        <v> </v>
      </c>
      <c r="DB173" s="127" t="str">
        <f t="shared" si="68"/>
        <v> </v>
      </c>
      <c r="DC173" s="127" t="str">
        <f t="shared" si="69"/>
        <v> </v>
      </c>
      <c r="DD173" s="127" t="str">
        <f t="shared" si="70"/>
        <v> </v>
      </c>
      <c r="DE173" s="127" t="str">
        <f t="shared" si="71"/>
        <v> </v>
      </c>
      <c r="DF173" s="127" t="str">
        <f t="shared" si="72"/>
        <v> </v>
      </c>
      <c r="DG173" s="127" t="str">
        <f t="shared" si="73"/>
        <v> </v>
      </c>
      <c r="DH173" s="127" t="str">
        <f t="shared" si="74"/>
        <v> </v>
      </c>
      <c r="DI173" s="127" t="str">
        <f t="shared" si="75"/>
        <v> </v>
      </c>
      <c r="DJ173" s="127" t="str">
        <f t="shared" si="76"/>
        <v> </v>
      </c>
      <c r="DK173" s="127" t="str">
        <f t="shared" si="77"/>
        <v> </v>
      </c>
      <c r="DL173" s="127" t="str">
        <f t="shared" si="78"/>
        <v> </v>
      </c>
      <c r="DM173" s="127" t="str">
        <f t="shared" si="79"/>
        <v> </v>
      </c>
      <c r="DN173" s="127" t="str">
        <f t="shared" si="80"/>
        <v> </v>
      </c>
      <c r="DO173" s="127" t="str">
        <f t="shared" si="81"/>
        <v> </v>
      </c>
      <c r="DP173" s="127" t="str">
        <f t="shared" si="82"/>
        <v> </v>
      </c>
      <c r="DQ173" s="127" t="str">
        <f t="shared" si="83"/>
        <v> </v>
      </c>
      <c r="DR173" s="127" t="str">
        <f t="shared" si="84"/>
        <v> </v>
      </c>
      <c r="DS173" s="127" t="str">
        <f t="shared" si="85"/>
        <v> </v>
      </c>
      <c r="DT173" s="127" t="str">
        <f t="shared" si="86"/>
        <v> </v>
      </c>
      <c r="DU173" s="127" t="str">
        <f t="shared" si="87"/>
        <v> </v>
      </c>
      <c r="DV173" s="127" t="str">
        <f t="shared" si="88"/>
        <v> </v>
      </c>
      <c r="DW173" s="127"/>
    </row>
    <row r="174" spans="3:127" ht="12.75" hidden="1">
      <c r="C174" s="111"/>
      <c r="F174" s="466"/>
      <c r="G174" s="101"/>
      <c r="H174" s="101"/>
      <c r="S174" s="432"/>
      <c r="T174" s="127">
        <f>E69</f>
        <v>40210</v>
      </c>
      <c r="U174" s="13">
        <f t="shared" si="123"/>
        <v>40628.01</v>
      </c>
      <c r="V174" s="455">
        <f>IF(T174=C174," ",T174)</f>
        <v>40210</v>
      </c>
      <c r="W174" s="455">
        <f>IF(V174=C173," ",V174)</f>
        <v>40210</v>
      </c>
      <c r="X174" s="455">
        <f>IF(W174=C172," ",W174)</f>
        <v>40210</v>
      </c>
      <c r="Y174" s="455">
        <f>IF(X174=C171," ",X174)</f>
        <v>40210</v>
      </c>
      <c r="Z174" s="455">
        <f>IF(Y174=C170," ",Y174)</f>
        <v>40210</v>
      </c>
      <c r="AA174" s="455">
        <f>IF(Z174=C169," ",Z174)</f>
        <v>40210</v>
      </c>
      <c r="AB174" s="455">
        <f>IF(AA174=C168," ",AA174)</f>
        <v>40210</v>
      </c>
      <c r="AC174" s="455">
        <f>IF(AB174=C167," ",AB174)</f>
        <v>40210</v>
      </c>
      <c r="AD174" s="455">
        <f>IF(AC174=C166," ",AC174)</f>
        <v>40210</v>
      </c>
      <c r="AE174" s="455">
        <f>IF(AD174=C165," ",AD174)</f>
        <v>40210</v>
      </c>
      <c r="AF174" s="455">
        <f>IF(C164=AE174," ",AE174)</f>
        <v>40210</v>
      </c>
      <c r="AG174" s="455">
        <f>IF(C163=AF174," ",AF174)</f>
        <v>40210</v>
      </c>
      <c r="AH174" s="455">
        <f>IF(C162=AG174," ",AG174)</f>
        <v>40210</v>
      </c>
      <c r="AI174" s="455">
        <f>IF(AH174=C161," ",AH174)</f>
        <v>40210</v>
      </c>
      <c r="AJ174" s="455">
        <f>IF(AI174=C160," ",AI174)</f>
        <v>40210</v>
      </c>
      <c r="AK174" s="455">
        <f>IF(AJ174=C159," ",AJ174)</f>
        <v>40210</v>
      </c>
      <c r="AL174" s="455">
        <f>IF(AK174=C158," ",AK174)</f>
        <v>40210</v>
      </c>
      <c r="AM174" s="111">
        <f t="shared" si="49"/>
        <v>40818.01</v>
      </c>
      <c r="AN174">
        <v>18</v>
      </c>
      <c r="AP174">
        <v>1989</v>
      </c>
      <c r="AX174" s="111">
        <f t="shared" si="54"/>
        <v>40210</v>
      </c>
      <c r="AY174" s="111">
        <f t="shared" si="89"/>
        <v>40210</v>
      </c>
      <c r="AZ174" s="111">
        <f t="shared" si="90"/>
        <v>40210</v>
      </c>
      <c r="BA174" s="127">
        <f t="shared" si="91"/>
        <v>40817.01</v>
      </c>
      <c r="BB174" s="127">
        <v>40483</v>
      </c>
      <c r="BC174" s="127">
        <f t="shared" si="55"/>
        <v>40483</v>
      </c>
      <c r="BD174" s="127">
        <f>IF(BC174&gt;BA174,AX165,BC174)</f>
        <v>40483</v>
      </c>
      <c r="BE174" s="127">
        <f t="shared" si="92"/>
        <v>40210</v>
      </c>
      <c r="BF174" s="127">
        <f t="shared" si="93"/>
        <v>40238</v>
      </c>
      <c r="BG174" s="127">
        <f t="shared" si="94"/>
        <v>40269</v>
      </c>
      <c r="BH174" s="127">
        <f t="shared" si="95"/>
        <v>40299</v>
      </c>
      <c r="BI174" s="127"/>
      <c r="BJ174" s="111">
        <v>40870</v>
      </c>
      <c r="BK174" s="127">
        <v>39751</v>
      </c>
      <c r="BL174" s="127"/>
      <c r="BM174" s="127"/>
      <c r="BN174" s="127"/>
      <c r="BO174" s="127"/>
      <c r="BP174" s="127"/>
      <c r="BQ174" s="127">
        <f t="shared" si="96"/>
        <v>40330</v>
      </c>
      <c r="BR174" s="127">
        <f t="shared" si="97"/>
        <v>40360</v>
      </c>
      <c r="BS174" s="127">
        <f t="shared" si="98"/>
        <v>40391</v>
      </c>
      <c r="BT174" s="127">
        <f t="shared" si="99"/>
        <v>40422</v>
      </c>
      <c r="BU174" s="127">
        <f t="shared" si="100"/>
        <v>40452</v>
      </c>
      <c r="BV174" s="127">
        <f t="shared" si="101"/>
        <v>40483</v>
      </c>
      <c r="BW174" s="127">
        <f t="shared" si="102"/>
        <v>40513</v>
      </c>
      <c r="BX174" s="127">
        <f t="shared" si="103"/>
        <v>40544</v>
      </c>
      <c r="BY174" s="127">
        <f t="shared" si="104"/>
        <v>40575</v>
      </c>
      <c r="BZ174" s="127">
        <f t="shared" si="105"/>
        <v>40603</v>
      </c>
      <c r="CA174" s="127">
        <f t="shared" si="106"/>
        <v>40628.01</v>
      </c>
      <c r="CB174" s="127">
        <f t="shared" si="107"/>
        <v>40634</v>
      </c>
      <c r="CC174" s="127">
        <f t="shared" si="108"/>
        <v>40664</v>
      </c>
      <c r="CD174" s="127">
        <f t="shared" si="109"/>
        <v>40695</v>
      </c>
      <c r="CE174" s="127">
        <f t="shared" si="110"/>
        <v>40725</v>
      </c>
      <c r="CF174" s="127">
        <f t="shared" si="111"/>
        <v>40756</v>
      </c>
      <c r="CG174" s="127">
        <f t="shared" si="112"/>
        <v>40787</v>
      </c>
      <c r="CH174" s="127">
        <f t="shared" si="113"/>
        <v>40817</v>
      </c>
      <c r="CI174" s="127">
        <f t="shared" si="114"/>
        <v>0</v>
      </c>
      <c r="CJ174" s="127">
        <f t="shared" si="115"/>
        <v>0</v>
      </c>
      <c r="CK174" s="127">
        <f t="shared" si="116"/>
        <v>0</v>
      </c>
      <c r="CL174" s="127">
        <f t="shared" si="117"/>
        <v>0</v>
      </c>
      <c r="CM174" s="127">
        <f t="shared" si="118"/>
        <v>0</v>
      </c>
      <c r="CN174" s="127">
        <f t="shared" si="119"/>
        <v>0</v>
      </c>
      <c r="CO174" s="127">
        <f t="shared" si="120"/>
        <v>0</v>
      </c>
      <c r="CP174" s="127">
        <f t="shared" si="121"/>
        <v>0</v>
      </c>
      <c r="CQ174" s="127">
        <f t="shared" si="122"/>
        <v>0</v>
      </c>
      <c r="CR174" s="127">
        <f t="shared" si="58"/>
        <v>40483</v>
      </c>
      <c r="CS174" s="127">
        <f t="shared" si="59"/>
        <v>40483</v>
      </c>
      <c r="CT174" s="127">
        <f t="shared" si="60"/>
        <v>40483</v>
      </c>
      <c r="CU174" s="127">
        <f t="shared" si="61"/>
        <v>40483</v>
      </c>
      <c r="CV174" s="127">
        <f t="shared" si="62"/>
        <v>40483</v>
      </c>
      <c r="CW174" s="127">
        <f t="shared" si="63"/>
        <v>40483</v>
      </c>
      <c r="CX174" s="127">
        <f t="shared" si="64"/>
        <v>40483</v>
      </c>
      <c r="CY174" s="127">
        <f t="shared" si="65"/>
        <v>40483</v>
      </c>
      <c r="CZ174" s="127">
        <f t="shared" si="66"/>
        <v>40483</v>
      </c>
      <c r="DA174" s="127" t="str">
        <f t="shared" si="67"/>
        <v> </v>
      </c>
      <c r="DB174" s="127" t="str">
        <f t="shared" si="68"/>
        <v> </v>
      </c>
      <c r="DC174" s="127" t="str">
        <f t="shared" si="69"/>
        <v> </v>
      </c>
      <c r="DD174" s="127" t="str">
        <f t="shared" si="70"/>
        <v> </v>
      </c>
      <c r="DE174" s="127" t="str">
        <f t="shared" si="71"/>
        <v> </v>
      </c>
      <c r="DF174" s="127" t="str">
        <f t="shared" si="72"/>
        <v> </v>
      </c>
      <c r="DG174" s="127" t="str">
        <f t="shared" si="73"/>
        <v> </v>
      </c>
      <c r="DH174" s="127" t="str">
        <f t="shared" si="74"/>
        <v> </v>
      </c>
      <c r="DI174" s="127" t="str">
        <f t="shared" si="75"/>
        <v> </v>
      </c>
      <c r="DJ174" s="127" t="str">
        <f t="shared" si="76"/>
        <v> </v>
      </c>
      <c r="DK174" s="127" t="str">
        <f t="shared" si="77"/>
        <v> </v>
      </c>
      <c r="DL174" s="127" t="str">
        <f t="shared" si="78"/>
        <v> </v>
      </c>
      <c r="DM174" s="127" t="str">
        <f t="shared" si="79"/>
        <v> </v>
      </c>
      <c r="DN174" s="127" t="str">
        <f t="shared" si="80"/>
        <v> </v>
      </c>
      <c r="DO174" s="127" t="str">
        <f t="shared" si="81"/>
        <v> </v>
      </c>
      <c r="DP174" s="127" t="str">
        <f t="shared" si="82"/>
        <v> </v>
      </c>
      <c r="DQ174" s="127" t="str">
        <f t="shared" si="83"/>
        <v> </v>
      </c>
      <c r="DR174" s="127" t="str">
        <f t="shared" si="84"/>
        <v> </v>
      </c>
      <c r="DS174" s="127" t="str">
        <f t="shared" si="85"/>
        <v> </v>
      </c>
      <c r="DT174" s="127" t="str">
        <f t="shared" si="86"/>
        <v> </v>
      </c>
      <c r="DU174" s="127" t="str">
        <f t="shared" si="87"/>
        <v> </v>
      </c>
      <c r="DV174" s="127" t="str">
        <f t="shared" si="88"/>
        <v> </v>
      </c>
      <c r="DW174" s="127"/>
    </row>
    <row r="175" spans="3:127" ht="12.75" hidden="1">
      <c r="C175" s="111"/>
      <c r="F175" s="135"/>
      <c r="G175" s="8"/>
      <c r="H175" s="8"/>
      <c r="S175" s="12"/>
      <c r="T175" s="127">
        <f t="shared" si="48"/>
        <v>40269.001</v>
      </c>
      <c r="U175" s="13">
        <f>E68</f>
        <v>40269.001</v>
      </c>
      <c r="V175" s="455">
        <f>IF(T175=C174," ",T175)</f>
        <v>40269.001</v>
      </c>
      <c r="W175" s="455">
        <f>IF(V175=C173," ",V175)</f>
        <v>40269.001</v>
      </c>
      <c r="X175" s="455">
        <f>IF(W175=C172," ",W175)</f>
        <v>40269.001</v>
      </c>
      <c r="Y175" s="455">
        <f>IF(X175=C171," ",X175)</f>
        <v>40269.001</v>
      </c>
      <c r="Z175" s="455">
        <f>IF(Y175=C170," ",Y175)</f>
        <v>40269.001</v>
      </c>
      <c r="AA175" s="455">
        <f>IF(Z175=C169," ",Z175)</f>
        <v>40269.001</v>
      </c>
      <c r="AB175" s="455">
        <f>IF(AA175=C168," ",AA175)</f>
        <v>40269.001</v>
      </c>
      <c r="AC175" s="455">
        <f>IF(AB175=C167," ",AB175)</f>
        <v>40269.001</v>
      </c>
      <c r="AD175" s="455">
        <f>IF(AC175=C166," ",AC175)</f>
        <v>40269.001</v>
      </c>
      <c r="AE175" s="455">
        <f>IF(AD175=C165," ",AD175)</f>
        <v>40269.001</v>
      </c>
      <c r="AF175" s="455">
        <f>IF(C164=AE175," ",AE175)</f>
        <v>40269.001</v>
      </c>
      <c r="AG175" s="455">
        <f>IF(C163=AF175," ",AF175)</f>
        <v>40269.001</v>
      </c>
      <c r="AH175" s="455">
        <f>IF(C162=AG175," ",AG175)</f>
        <v>40269.001</v>
      </c>
      <c r="AI175" s="455">
        <f>IF(AH175=C161," ",AH175)</f>
        <v>40269.001</v>
      </c>
      <c r="AJ175" s="455">
        <f>IF(AI175=C160," ",AI175)</f>
        <v>40269.001</v>
      </c>
      <c r="AK175" s="455">
        <f>IF(AJ175=C159," ",AJ175)</f>
        <v>40269.001</v>
      </c>
      <c r="AL175" s="455">
        <f>IF(AK175=C158," ",AK175)</f>
        <v>40269.001</v>
      </c>
      <c r="AM175" s="111">
        <f t="shared" si="49"/>
        <v>40818.01</v>
      </c>
      <c r="AN175">
        <v>19</v>
      </c>
      <c r="AP175">
        <v>1990</v>
      </c>
      <c r="AX175" s="111">
        <f t="shared" si="54"/>
        <v>40210</v>
      </c>
      <c r="AY175" s="111">
        <f t="shared" si="89"/>
        <v>40210</v>
      </c>
      <c r="AZ175" s="111">
        <f t="shared" si="90"/>
        <v>40210</v>
      </c>
      <c r="BA175" s="127">
        <f t="shared" si="91"/>
        <v>40817.01</v>
      </c>
      <c r="BB175" s="127">
        <v>40513</v>
      </c>
      <c r="BC175" s="127">
        <f t="shared" si="55"/>
        <v>40513</v>
      </c>
      <c r="BD175" s="127">
        <f>IF(BC175&gt;BA175,AX165,BC175)</f>
        <v>40513</v>
      </c>
      <c r="BE175" s="127">
        <f t="shared" si="92"/>
        <v>40210</v>
      </c>
      <c r="BF175" s="127">
        <f t="shared" si="93"/>
        <v>40238</v>
      </c>
      <c r="BG175" s="127">
        <f t="shared" si="94"/>
        <v>40269</v>
      </c>
      <c r="BH175" s="127">
        <f t="shared" si="95"/>
        <v>40299</v>
      </c>
      <c r="BI175" s="127"/>
      <c r="BJ175" s="111">
        <v>40871</v>
      </c>
      <c r="BK175" s="127">
        <v>39752</v>
      </c>
      <c r="BL175" s="127"/>
      <c r="BM175" s="127"/>
      <c r="BN175" s="127"/>
      <c r="BO175" s="127"/>
      <c r="BP175" s="127"/>
      <c r="BQ175" s="127">
        <f t="shared" si="96"/>
        <v>40330</v>
      </c>
      <c r="BR175" s="127">
        <f t="shared" si="97"/>
        <v>40360</v>
      </c>
      <c r="BS175" s="127">
        <f t="shared" si="98"/>
        <v>40391</v>
      </c>
      <c r="BT175" s="127">
        <f t="shared" si="99"/>
        <v>40422</v>
      </c>
      <c r="BU175" s="127">
        <f t="shared" si="100"/>
        <v>40452</v>
      </c>
      <c r="BV175" s="127">
        <f t="shared" si="101"/>
        <v>40483</v>
      </c>
      <c r="BW175" s="127">
        <f t="shared" si="102"/>
        <v>40513</v>
      </c>
      <c r="BX175" s="127">
        <f t="shared" si="103"/>
        <v>40544</v>
      </c>
      <c r="BY175" s="127">
        <f t="shared" si="104"/>
        <v>40575</v>
      </c>
      <c r="BZ175" s="127">
        <f t="shared" si="105"/>
        <v>40603</v>
      </c>
      <c r="CA175" s="127">
        <f t="shared" si="106"/>
        <v>40628.01</v>
      </c>
      <c r="CB175" s="127">
        <f t="shared" si="107"/>
        <v>40634</v>
      </c>
      <c r="CC175" s="127">
        <f t="shared" si="108"/>
        <v>40664</v>
      </c>
      <c r="CD175" s="127">
        <f t="shared" si="109"/>
        <v>40695</v>
      </c>
      <c r="CE175" s="127">
        <f t="shared" si="110"/>
        <v>40725</v>
      </c>
      <c r="CF175" s="127">
        <f t="shared" si="111"/>
        <v>40756</v>
      </c>
      <c r="CG175" s="127">
        <f t="shared" si="112"/>
        <v>40787</v>
      </c>
      <c r="CH175" s="127">
        <f t="shared" si="113"/>
        <v>40817</v>
      </c>
      <c r="CI175" s="127">
        <f t="shared" si="114"/>
        <v>0</v>
      </c>
      <c r="CJ175" s="127">
        <f t="shared" si="115"/>
        <v>0</v>
      </c>
      <c r="CK175" s="127">
        <f t="shared" si="116"/>
        <v>0</v>
      </c>
      <c r="CL175" s="127">
        <f t="shared" si="117"/>
        <v>0</v>
      </c>
      <c r="CM175" s="127">
        <f t="shared" si="118"/>
        <v>0</v>
      </c>
      <c r="CN175" s="127">
        <f t="shared" si="119"/>
        <v>0</v>
      </c>
      <c r="CO175" s="127">
        <f t="shared" si="120"/>
        <v>0</v>
      </c>
      <c r="CP175" s="127">
        <f t="shared" si="121"/>
        <v>0</v>
      </c>
      <c r="CQ175" s="127">
        <f t="shared" si="122"/>
        <v>0</v>
      </c>
      <c r="CR175" s="127">
        <f t="shared" si="58"/>
        <v>40513</v>
      </c>
      <c r="CS175" s="127">
        <f t="shared" si="59"/>
        <v>40513</v>
      </c>
      <c r="CT175" s="127">
        <f t="shared" si="60"/>
        <v>40513</v>
      </c>
      <c r="CU175" s="127">
        <f t="shared" si="61"/>
        <v>40513</v>
      </c>
      <c r="CV175" s="127">
        <f t="shared" si="62"/>
        <v>40513</v>
      </c>
      <c r="CW175" s="127">
        <f t="shared" si="63"/>
        <v>40513</v>
      </c>
      <c r="CX175" s="127">
        <f t="shared" si="64"/>
        <v>40513</v>
      </c>
      <c r="CY175" s="127">
        <f t="shared" si="65"/>
        <v>40513</v>
      </c>
      <c r="CZ175" s="127">
        <f t="shared" si="66"/>
        <v>40513</v>
      </c>
      <c r="DA175" s="127">
        <f t="shared" si="67"/>
        <v>40513</v>
      </c>
      <c r="DB175" s="127" t="str">
        <f t="shared" si="68"/>
        <v> </v>
      </c>
      <c r="DC175" s="127" t="str">
        <f t="shared" si="69"/>
        <v> </v>
      </c>
      <c r="DD175" s="127" t="str">
        <f t="shared" si="70"/>
        <v> </v>
      </c>
      <c r="DE175" s="127" t="str">
        <f t="shared" si="71"/>
        <v> </v>
      </c>
      <c r="DF175" s="127" t="str">
        <f t="shared" si="72"/>
        <v> </v>
      </c>
      <c r="DG175" s="127" t="str">
        <f t="shared" si="73"/>
        <v> </v>
      </c>
      <c r="DH175" s="127" t="str">
        <f t="shared" si="74"/>
        <v> </v>
      </c>
      <c r="DI175" s="127" t="str">
        <f t="shared" si="75"/>
        <v> </v>
      </c>
      <c r="DJ175" s="127" t="str">
        <f t="shared" si="76"/>
        <v> </v>
      </c>
      <c r="DK175" s="127" t="str">
        <f t="shared" si="77"/>
        <v> </v>
      </c>
      <c r="DL175" s="127" t="str">
        <f t="shared" si="78"/>
        <v> </v>
      </c>
      <c r="DM175" s="127" t="str">
        <f t="shared" si="79"/>
        <v> </v>
      </c>
      <c r="DN175" s="127" t="str">
        <f t="shared" si="80"/>
        <v> </v>
      </c>
      <c r="DO175" s="127" t="str">
        <f t="shared" si="81"/>
        <v> </v>
      </c>
      <c r="DP175" s="127" t="str">
        <f t="shared" si="82"/>
        <v> </v>
      </c>
      <c r="DQ175" s="127" t="str">
        <f t="shared" si="83"/>
        <v> </v>
      </c>
      <c r="DR175" s="127" t="str">
        <f t="shared" si="84"/>
        <v> </v>
      </c>
      <c r="DS175" s="127" t="str">
        <f t="shared" si="85"/>
        <v> </v>
      </c>
      <c r="DT175" s="127" t="str">
        <f t="shared" si="86"/>
        <v> </v>
      </c>
      <c r="DU175" s="127" t="str">
        <f t="shared" si="87"/>
        <v> </v>
      </c>
      <c r="DV175" s="127" t="str">
        <f t="shared" si="88"/>
        <v> </v>
      </c>
      <c r="DW175" s="127"/>
    </row>
    <row r="176" spans="3:127" ht="12.75" hidden="1">
      <c r="C176" s="111"/>
      <c r="E176" s="2"/>
      <c r="AN176">
        <v>20</v>
      </c>
      <c r="AP176">
        <v>1991</v>
      </c>
      <c r="AX176" s="111">
        <f t="shared" si="54"/>
        <v>40210</v>
      </c>
      <c r="AY176" s="111">
        <f>AY175</f>
        <v>40210</v>
      </c>
      <c r="AZ176" s="111">
        <f>AZ175</f>
        <v>40210</v>
      </c>
      <c r="BA176" s="127">
        <f>BA175+0</f>
        <v>40817.01</v>
      </c>
      <c r="BB176" s="127">
        <v>40544</v>
      </c>
      <c r="BC176" s="127">
        <f t="shared" si="55"/>
        <v>40544</v>
      </c>
      <c r="BD176" s="127">
        <f>IF(BC176&gt;BA176,AX165,BC176)</f>
        <v>40544</v>
      </c>
      <c r="BE176" s="127">
        <f>BE175+0</f>
        <v>40210</v>
      </c>
      <c r="BF176" s="127">
        <f>BF175+0</f>
        <v>40238</v>
      </c>
      <c r="BG176" s="127">
        <f>BG175+0</f>
        <v>40269</v>
      </c>
      <c r="BH176" s="127">
        <f>BH175+0</f>
        <v>40299</v>
      </c>
      <c r="BI176" s="127"/>
      <c r="BJ176" s="111">
        <v>40872</v>
      </c>
      <c r="BK176" s="127">
        <v>39753</v>
      </c>
      <c r="BL176" s="127"/>
      <c r="BM176" s="127"/>
      <c r="BN176" s="127"/>
      <c r="BO176" s="127"/>
      <c r="BP176" s="127"/>
      <c r="BQ176" s="127">
        <f aca="true" t="shared" si="124" ref="BQ176:CQ176">BQ175+0</f>
        <v>40330</v>
      </c>
      <c r="BR176" s="127">
        <f t="shared" si="124"/>
        <v>40360</v>
      </c>
      <c r="BS176" s="127">
        <f t="shared" si="124"/>
        <v>40391</v>
      </c>
      <c r="BT176" s="127">
        <f t="shared" si="124"/>
        <v>40422</v>
      </c>
      <c r="BU176" s="127">
        <f t="shared" si="124"/>
        <v>40452</v>
      </c>
      <c r="BV176" s="127">
        <f t="shared" si="124"/>
        <v>40483</v>
      </c>
      <c r="BW176" s="127">
        <f t="shared" si="124"/>
        <v>40513</v>
      </c>
      <c r="BX176" s="127">
        <f t="shared" si="124"/>
        <v>40544</v>
      </c>
      <c r="BY176" s="127">
        <f t="shared" si="124"/>
        <v>40575</v>
      </c>
      <c r="BZ176" s="127">
        <f t="shared" si="124"/>
        <v>40603</v>
      </c>
      <c r="CA176" s="127">
        <f t="shared" si="124"/>
        <v>40628.01</v>
      </c>
      <c r="CB176" s="127">
        <f t="shared" si="124"/>
        <v>40634</v>
      </c>
      <c r="CC176" s="127">
        <f t="shared" si="124"/>
        <v>40664</v>
      </c>
      <c r="CD176" s="127">
        <f t="shared" si="124"/>
        <v>40695</v>
      </c>
      <c r="CE176" s="127">
        <f t="shared" si="124"/>
        <v>40725</v>
      </c>
      <c r="CF176" s="127">
        <f t="shared" si="124"/>
        <v>40756</v>
      </c>
      <c r="CG176" s="127">
        <f t="shared" si="124"/>
        <v>40787</v>
      </c>
      <c r="CH176" s="127">
        <f t="shared" si="124"/>
        <v>40817</v>
      </c>
      <c r="CI176" s="127">
        <f t="shared" si="124"/>
        <v>0</v>
      </c>
      <c r="CJ176" s="127">
        <f t="shared" si="124"/>
        <v>0</v>
      </c>
      <c r="CK176" s="127">
        <f t="shared" si="124"/>
        <v>0</v>
      </c>
      <c r="CL176" s="127">
        <f t="shared" si="124"/>
        <v>0</v>
      </c>
      <c r="CM176" s="127">
        <f t="shared" si="124"/>
        <v>0</v>
      </c>
      <c r="CN176" s="127">
        <f t="shared" si="124"/>
        <v>0</v>
      </c>
      <c r="CO176" s="127">
        <f t="shared" si="124"/>
        <v>0</v>
      </c>
      <c r="CP176" s="127">
        <f t="shared" si="124"/>
        <v>0</v>
      </c>
      <c r="CQ176" s="127">
        <f t="shared" si="124"/>
        <v>0</v>
      </c>
      <c r="CR176" s="127">
        <f t="shared" si="58"/>
        <v>40544</v>
      </c>
      <c r="CS176" s="127">
        <f t="shared" si="59"/>
        <v>40544</v>
      </c>
      <c r="CT176" s="127">
        <f t="shared" si="60"/>
        <v>40544</v>
      </c>
      <c r="CU176" s="127">
        <f t="shared" si="61"/>
        <v>40544</v>
      </c>
      <c r="CV176" s="127">
        <f t="shared" si="62"/>
        <v>40544</v>
      </c>
      <c r="CW176" s="127">
        <f t="shared" si="63"/>
        <v>40544</v>
      </c>
      <c r="CX176" s="127">
        <f t="shared" si="64"/>
        <v>40544</v>
      </c>
      <c r="CY176" s="127">
        <f t="shared" si="65"/>
        <v>40544</v>
      </c>
      <c r="CZ176" s="127">
        <f t="shared" si="66"/>
        <v>40544</v>
      </c>
      <c r="DA176" s="127">
        <f t="shared" si="67"/>
        <v>40544</v>
      </c>
      <c r="DB176" s="127">
        <f t="shared" si="68"/>
        <v>40544</v>
      </c>
      <c r="DC176" s="127" t="str">
        <f t="shared" si="69"/>
        <v> </v>
      </c>
      <c r="DD176" s="127" t="str">
        <f t="shared" si="70"/>
        <v> </v>
      </c>
      <c r="DE176" s="127" t="str">
        <f t="shared" si="71"/>
        <v> </v>
      </c>
      <c r="DF176" s="127" t="str">
        <f t="shared" si="72"/>
        <v> </v>
      </c>
      <c r="DG176" s="127" t="str">
        <f t="shared" si="73"/>
        <v> </v>
      </c>
      <c r="DH176" s="127" t="str">
        <f t="shared" si="74"/>
        <v> </v>
      </c>
      <c r="DI176" s="127" t="str">
        <f t="shared" si="75"/>
        <v> </v>
      </c>
      <c r="DJ176" s="127" t="str">
        <f t="shared" si="76"/>
        <v> </v>
      </c>
      <c r="DK176" s="127" t="str">
        <f t="shared" si="77"/>
        <v> </v>
      </c>
      <c r="DL176" s="127" t="str">
        <f t="shared" si="78"/>
        <v> </v>
      </c>
      <c r="DM176" s="127" t="str">
        <f t="shared" si="79"/>
        <v> </v>
      </c>
      <c r="DN176" s="127" t="str">
        <f t="shared" si="80"/>
        <v> </v>
      </c>
      <c r="DO176" s="127" t="str">
        <f t="shared" si="81"/>
        <v> </v>
      </c>
      <c r="DP176" s="127" t="str">
        <f t="shared" si="82"/>
        <v> </v>
      </c>
      <c r="DQ176" s="127" t="str">
        <f t="shared" si="83"/>
        <v> </v>
      </c>
      <c r="DR176" s="127" t="str">
        <f t="shared" si="84"/>
        <v> </v>
      </c>
      <c r="DS176" s="127" t="str">
        <f t="shared" si="85"/>
        <v> </v>
      </c>
      <c r="DT176" s="127" t="str">
        <f t="shared" si="86"/>
        <v> </v>
      </c>
      <c r="DU176" s="127" t="str">
        <f t="shared" si="87"/>
        <v> </v>
      </c>
      <c r="DV176" s="127" t="str">
        <f t="shared" si="88"/>
        <v> </v>
      </c>
      <c r="DW176" s="127"/>
    </row>
    <row r="177" spans="3:127" ht="12.75" hidden="1">
      <c r="C177" s="111"/>
      <c r="E177" s="2"/>
      <c r="F177" s="8"/>
      <c r="G177" s="8"/>
      <c r="H177" s="8"/>
      <c r="AN177">
        <v>21</v>
      </c>
      <c r="AP177">
        <v>1992</v>
      </c>
      <c r="AX177" s="111">
        <f t="shared" si="54"/>
        <v>40210</v>
      </c>
      <c r="AY177" s="111">
        <f t="shared" si="89"/>
        <v>40210</v>
      </c>
      <c r="AZ177" s="111">
        <f t="shared" si="90"/>
        <v>40210</v>
      </c>
      <c r="BA177" s="127">
        <f t="shared" si="91"/>
        <v>40817.01</v>
      </c>
      <c r="BB177" s="127">
        <v>40575</v>
      </c>
      <c r="BC177" s="127">
        <f t="shared" si="55"/>
        <v>40575</v>
      </c>
      <c r="BD177" s="127">
        <f>IF(BC177&gt;BA177,AX165,BC177)</f>
        <v>40575</v>
      </c>
      <c r="BE177" s="127">
        <f t="shared" si="92"/>
        <v>40210</v>
      </c>
      <c r="BF177" s="127">
        <f t="shared" si="93"/>
        <v>40238</v>
      </c>
      <c r="BG177" s="127">
        <f t="shared" si="94"/>
        <v>40269</v>
      </c>
      <c r="BH177" s="127">
        <f t="shared" si="95"/>
        <v>40299</v>
      </c>
      <c r="BI177" s="127"/>
      <c r="BJ177" s="111">
        <v>40873</v>
      </c>
      <c r="BK177" s="127">
        <v>39754</v>
      </c>
      <c r="BL177" s="127"/>
      <c r="BM177" s="127"/>
      <c r="BN177" s="127"/>
      <c r="BO177" s="127"/>
      <c r="BP177" s="127"/>
      <c r="BQ177" s="127">
        <f t="shared" si="96"/>
        <v>40330</v>
      </c>
      <c r="BR177" s="127">
        <f t="shared" si="97"/>
        <v>40360</v>
      </c>
      <c r="BS177" s="127">
        <f t="shared" si="98"/>
        <v>40391</v>
      </c>
      <c r="BT177" s="127">
        <f t="shared" si="99"/>
        <v>40422</v>
      </c>
      <c r="BU177" s="127">
        <f t="shared" si="100"/>
        <v>40452</v>
      </c>
      <c r="BV177" s="127">
        <f t="shared" si="101"/>
        <v>40483</v>
      </c>
      <c r="BW177" s="127">
        <f t="shared" si="102"/>
        <v>40513</v>
      </c>
      <c r="BX177" s="127">
        <f t="shared" si="103"/>
        <v>40544</v>
      </c>
      <c r="BY177" s="127">
        <f t="shared" si="104"/>
        <v>40575</v>
      </c>
      <c r="BZ177" s="127">
        <f t="shared" si="105"/>
        <v>40603</v>
      </c>
      <c r="CA177" s="127">
        <f t="shared" si="106"/>
        <v>40628.01</v>
      </c>
      <c r="CB177" s="127">
        <f t="shared" si="107"/>
        <v>40634</v>
      </c>
      <c r="CC177" s="127">
        <f t="shared" si="108"/>
        <v>40664</v>
      </c>
      <c r="CD177" s="127">
        <f t="shared" si="109"/>
        <v>40695</v>
      </c>
      <c r="CE177" s="127">
        <f t="shared" si="110"/>
        <v>40725</v>
      </c>
      <c r="CF177" s="127">
        <f t="shared" si="111"/>
        <v>40756</v>
      </c>
      <c r="CG177" s="127">
        <f t="shared" si="112"/>
        <v>40787</v>
      </c>
      <c r="CH177" s="127">
        <f t="shared" si="113"/>
        <v>40817</v>
      </c>
      <c r="CI177" s="127">
        <f t="shared" si="114"/>
        <v>0</v>
      </c>
      <c r="CJ177" s="127">
        <f t="shared" si="115"/>
        <v>0</v>
      </c>
      <c r="CK177" s="127">
        <f t="shared" si="116"/>
        <v>0</v>
      </c>
      <c r="CL177" s="127">
        <f t="shared" si="117"/>
        <v>0</v>
      </c>
      <c r="CM177" s="127">
        <f t="shared" si="118"/>
        <v>0</v>
      </c>
      <c r="CN177" s="127">
        <f t="shared" si="119"/>
        <v>0</v>
      </c>
      <c r="CO177" s="127">
        <f t="shared" si="120"/>
        <v>0</v>
      </c>
      <c r="CP177" s="127">
        <f t="shared" si="121"/>
        <v>0</v>
      </c>
      <c r="CQ177" s="127">
        <f t="shared" si="122"/>
        <v>0</v>
      </c>
      <c r="CR177" s="127">
        <f t="shared" si="58"/>
        <v>40575</v>
      </c>
      <c r="CS177" s="127">
        <f t="shared" si="59"/>
        <v>40575</v>
      </c>
      <c r="CT177" s="127">
        <f t="shared" si="60"/>
        <v>40575</v>
      </c>
      <c r="CU177" s="127">
        <f t="shared" si="61"/>
        <v>40575</v>
      </c>
      <c r="CV177" s="127">
        <f t="shared" si="62"/>
        <v>40575</v>
      </c>
      <c r="CW177" s="127">
        <f t="shared" si="63"/>
        <v>40575</v>
      </c>
      <c r="CX177" s="127">
        <f t="shared" si="64"/>
        <v>40575</v>
      </c>
      <c r="CY177" s="127">
        <f t="shared" si="65"/>
        <v>40575</v>
      </c>
      <c r="CZ177" s="127">
        <f t="shared" si="66"/>
        <v>40575</v>
      </c>
      <c r="DA177" s="127">
        <f t="shared" si="67"/>
        <v>40575</v>
      </c>
      <c r="DB177" s="127">
        <f t="shared" si="68"/>
        <v>40575</v>
      </c>
      <c r="DC177" s="127">
        <f t="shared" si="69"/>
        <v>40575</v>
      </c>
      <c r="DD177" s="127" t="str">
        <f t="shared" si="70"/>
        <v> </v>
      </c>
      <c r="DE177" s="127" t="str">
        <f t="shared" si="71"/>
        <v> </v>
      </c>
      <c r="DF177" s="127" t="str">
        <f t="shared" si="72"/>
        <v> </v>
      </c>
      <c r="DG177" s="127" t="str">
        <f t="shared" si="73"/>
        <v> </v>
      </c>
      <c r="DH177" s="127" t="str">
        <f t="shared" si="74"/>
        <v> </v>
      </c>
      <c r="DI177" s="127" t="str">
        <f t="shared" si="75"/>
        <v> </v>
      </c>
      <c r="DJ177" s="127" t="str">
        <f t="shared" si="76"/>
        <v> </v>
      </c>
      <c r="DK177" s="127" t="str">
        <f t="shared" si="77"/>
        <v> </v>
      </c>
      <c r="DL177" s="127" t="str">
        <f t="shared" si="78"/>
        <v> </v>
      </c>
      <c r="DM177" s="127" t="str">
        <f t="shared" si="79"/>
        <v> </v>
      </c>
      <c r="DN177" s="127" t="str">
        <f t="shared" si="80"/>
        <v> </v>
      </c>
      <c r="DO177" s="127" t="str">
        <f t="shared" si="81"/>
        <v> </v>
      </c>
      <c r="DP177" s="127" t="str">
        <f t="shared" si="82"/>
        <v> </v>
      </c>
      <c r="DQ177" s="127" t="str">
        <f t="shared" si="83"/>
        <v> </v>
      </c>
      <c r="DR177" s="127" t="str">
        <f t="shared" si="84"/>
        <v> </v>
      </c>
      <c r="DS177" s="127" t="str">
        <f t="shared" si="85"/>
        <v> </v>
      </c>
      <c r="DT177" s="127" t="str">
        <f t="shared" si="86"/>
        <v> </v>
      </c>
      <c r="DU177" s="127" t="str">
        <f t="shared" si="87"/>
        <v> </v>
      </c>
      <c r="DV177" s="127" t="str">
        <f t="shared" si="88"/>
        <v> </v>
      </c>
      <c r="DW177" s="127"/>
    </row>
    <row r="178" spans="3:127" ht="12.75" hidden="1">
      <c r="C178" s="111"/>
      <c r="F178" s="8"/>
      <c r="G178" s="8"/>
      <c r="H178" s="8"/>
      <c r="AN178">
        <v>22</v>
      </c>
      <c r="AP178">
        <v>1993</v>
      </c>
      <c r="AX178" s="111">
        <f t="shared" si="54"/>
        <v>40210</v>
      </c>
      <c r="AY178" s="111">
        <f t="shared" si="89"/>
        <v>40210</v>
      </c>
      <c r="AZ178" s="111">
        <f t="shared" si="90"/>
        <v>40210</v>
      </c>
      <c r="BA178" s="127">
        <f t="shared" si="91"/>
        <v>40817.01</v>
      </c>
      <c r="BB178" s="127">
        <v>40603</v>
      </c>
      <c r="BC178" s="127">
        <f t="shared" si="55"/>
        <v>40603</v>
      </c>
      <c r="BD178" s="127">
        <f>IF(BC178&gt;BA178,AX165,BC178)</f>
        <v>40603</v>
      </c>
      <c r="BE178" s="127">
        <f t="shared" si="92"/>
        <v>40210</v>
      </c>
      <c r="BF178" s="127">
        <f t="shared" si="93"/>
        <v>40238</v>
      </c>
      <c r="BG178" s="127">
        <f t="shared" si="94"/>
        <v>40269</v>
      </c>
      <c r="BH178" s="127">
        <f t="shared" si="95"/>
        <v>40299</v>
      </c>
      <c r="BI178" s="127"/>
      <c r="BJ178" s="111">
        <v>40874</v>
      </c>
      <c r="BK178" s="127">
        <v>39755</v>
      </c>
      <c r="BL178" s="127"/>
      <c r="BM178" s="127"/>
      <c r="BN178" s="127"/>
      <c r="BO178" s="127"/>
      <c r="BP178" s="127"/>
      <c r="BQ178" s="127">
        <f t="shared" si="96"/>
        <v>40330</v>
      </c>
      <c r="BR178" s="127">
        <f t="shared" si="97"/>
        <v>40360</v>
      </c>
      <c r="BS178" s="127">
        <f t="shared" si="98"/>
        <v>40391</v>
      </c>
      <c r="BT178" s="127">
        <f t="shared" si="99"/>
        <v>40422</v>
      </c>
      <c r="BU178" s="127">
        <f t="shared" si="100"/>
        <v>40452</v>
      </c>
      <c r="BV178" s="127">
        <f t="shared" si="101"/>
        <v>40483</v>
      </c>
      <c r="BW178" s="127">
        <f t="shared" si="102"/>
        <v>40513</v>
      </c>
      <c r="BX178" s="127">
        <f t="shared" si="103"/>
        <v>40544</v>
      </c>
      <c r="BY178" s="127">
        <f t="shared" si="104"/>
        <v>40575</v>
      </c>
      <c r="BZ178" s="127">
        <f t="shared" si="105"/>
        <v>40603</v>
      </c>
      <c r="CA178" s="127">
        <f t="shared" si="106"/>
        <v>40628.01</v>
      </c>
      <c r="CB178" s="127">
        <f t="shared" si="107"/>
        <v>40634</v>
      </c>
      <c r="CC178" s="127">
        <f t="shared" si="108"/>
        <v>40664</v>
      </c>
      <c r="CD178" s="127">
        <f t="shared" si="109"/>
        <v>40695</v>
      </c>
      <c r="CE178" s="127">
        <f t="shared" si="110"/>
        <v>40725</v>
      </c>
      <c r="CF178" s="127">
        <f t="shared" si="111"/>
        <v>40756</v>
      </c>
      <c r="CG178" s="127">
        <f t="shared" si="112"/>
        <v>40787</v>
      </c>
      <c r="CH178" s="127">
        <f t="shared" si="113"/>
        <v>40817</v>
      </c>
      <c r="CI178" s="127">
        <f t="shared" si="114"/>
        <v>0</v>
      </c>
      <c r="CJ178" s="127">
        <f t="shared" si="115"/>
        <v>0</v>
      </c>
      <c r="CK178" s="127">
        <f t="shared" si="116"/>
        <v>0</v>
      </c>
      <c r="CL178" s="127">
        <f t="shared" si="117"/>
        <v>0</v>
      </c>
      <c r="CM178" s="127">
        <f t="shared" si="118"/>
        <v>0</v>
      </c>
      <c r="CN178" s="127">
        <f t="shared" si="119"/>
        <v>0</v>
      </c>
      <c r="CO178" s="127">
        <f t="shared" si="120"/>
        <v>0</v>
      </c>
      <c r="CP178" s="127">
        <f t="shared" si="121"/>
        <v>0</v>
      </c>
      <c r="CQ178" s="127">
        <f t="shared" si="122"/>
        <v>0</v>
      </c>
      <c r="CR178" s="127">
        <f t="shared" si="58"/>
        <v>40603</v>
      </c>
      <c r="CS178" s="127">
        <f t="shared" si="59"/>
        <v>40603</v>
      </c>
      <c r="CT178" s="127">
        <f t="shared" si="60"/>
        <v>40603</v>
      </c>
      <c r="CU178" s="127">
        <f t="shared" si="61"/>
        <v>40603</v>
      </c>
      <c r="CV178" s="127">
        <f t="shared" si="62"/>
        <v>40603</v>
      </c>
      <c r="CW178" s="127">
        <f t="shared" si="63"/>
        <v>40603</v>
      </c>
      <c r="CX178" s="127">
        <f t="shared" si="64"/>
        <v>40603</v>
      </c>
      <c r="CY178" s="127">
        <f t="shared" si="65"/>
        <v>40603</v>
      </c>
      <c r="CZ178" s="127">
        <f t="shared" si="66"/>
        <v>40603</v>
      </c>
      <c r="DA178" s="127">
        <f t="shared" si="67"/>
        <v>40603</v>
      </c>
      <c r="DB178" s="127">
        <f t="shared" si="68"/>
        <v>40603</v>
      </c>
      <c r="DC178" s="127">
        <f t="shared" si="69"/>
        <v>40603</v>
      </c>
      <c r="DD178" s="127">
        <f t="shared" si="70"/>
        <v>40603</v>
      </c>
      <c r="DE178" s="127" t="str">
        <f t="shared" si="71"/>
        <v> </v>
      </c>
      <c r="DF178" s="127" t="str">
        <f t="shared" si="72"/>
        <v> </v>
      </c>
      <c r="DG178" s="127" t="str">
        <f t="shared" si="73"/>
        <v> </v>
      </c>
      <c r="DH178" s="127" t="str">
        <f t="shared" si="74"/>
        <v> </v>
      </c>
      <c r="DI178" s="127" t="str">
        <f t="shared" si="75"/>
        <v> </v>
      </c>
      <c r="DJ178" s="127" t="str">
        <f t="shared" si="76"/>
        <v> </v>
      </c>
      <c r="DK178" s="127" t="str">
        <f t="shared" si="77"/>
        <v> </v>
      </c>
      <c r="DL178" s="127" t="str">
        <f t="shared" si="78"/>
        <v> </v>
      </c>
      <c r="DM178" s="127" t="str">
        <f t="shared" si="79"/>
        <v> </v>
      </c>
      <c r="DN178" s="127" t="str">
        <f t="shared" si="80"/>
        <v> </v>
      </c>
      <c r="DO178" s="127" t="str">
        <f t="shared" si="81"/>
        <v> </v>
      </c>
      <c r="DP178" s="127" t="str">
        <f t="shared" si="82"/>
        <v> </v>
      </c>
      <c r="DQ178" s="127" t="str">
        <f t="shared" si="83"/>
        <v> </v>
      </c>
      <c r="DR178" s="127" t="str">
        <f t="shared" si="84"/>
        <v> </v>
      </c>
      <c r="DS178" s="127" t="str">
        <f t="shared" si="85"/>
        <v> </v>
      </c>
      <c r="DT178" s="127" t="str">
        <f t="shared" si="86"/>
        <v> </v>
      </c>
      <c r="DU178" s="127" t="str">
        <f t="shared" si="87"/>
        <v> </v>
      </c>
      <c r="DV178" s="127" t="str">
        <f t="shared" si="88"/>
        <v> </v>
      </c>
      <c r="DW178" s="127"/>
    </row>
    <row r="179" spans="40:127" ht="12.75" hidden="1">
      <c r="AN179">
        <v>23</v>
      </c>
      <c r="AP179">
        <v>1994</v>
      </c>
      <c r="AX179" s="111">
        <f t="shared" si="54"/>
        <v>40210</v>
      </c>
      <c r="AY179" s="111">
        <f t="shared" si="89"/>
        <v>40210</v>
      </c>
      <c r="AZ179" s="111">
        <f t="shared" si="90"/>
        <v>40210</v>
      </c>
      <c r="BA179" s="127">
        <f t="shared" si="91"/>
        <v>40817.01</v>
      </c>
      <c r="BB179" s="127">
        <v>40634</v>
      </c>
      <c r="BC179" s="127">
        <f t="shared" si="55"/>
        <v>40634</v>
      </c>
      <c r="BD179" s="127">
        <f>IF(BC179&gt;BA179,AX165,BC179)</f>
        <v>40634</v>
      </c>
      <c r="BE179" s="127">
        <f t="shared" si="92"/>
        <v>40210</v>
      </c>
      <c r="BF179" s="127">
        <f t="shared" si="93"/>
        <v>40238</v>
      </c>
      <c r="BG179" s="127">
        <f t="shared" si="94"/>
        <v>40269</v>
      </c>
      <c r="BH179" s="127">
        <f t="shared" si="95"/>
        <v>40299</v>
      </c>
      <c r="BI179" s="127"/>
      <c r="BJ179" s="111">
        <v>40875</v>
      </c>
      <c r="BK179" s="127">
        <v>39756</v>
      </c>
      <c r="BL179" s="127"/>
      <c r="BM179" s="127"/>
      <c r="BN179" s="127"/>
      <c r="BO179" s="127"/>
      <c r="BP179" s="127"/>
      <c r="BQ179" s="127">
        <f t="shared" si="96"/>
        <v>40330</v>
      </c>
      <c r="BR179" s="127">
        <f t="shared" si="97"/>
        <v>40360</v>
      </c>
      <c r="BS179" s="127">
        <f t="shared" si="98"/>
        <v>40391</v>
      </c>
      <c r="BT179" s="127">
        <f t="shared" si="99"/>
        <v>40422</v>
      </c>
      <c r="BU179" s="127">
        <f t="shared" si="100"/>
        <v>40452</v>
      </c>
      <c r="BV179" s="127">
        <f t="shared" si="101"/>
        <v>40483</v>
      </c>
      <c r="BW179" s="127">
        <f t="shared" si="102"/>
        <v>40513</v>
      </c>
      <c r="BX179" s="127">
        <f t="shared" si="103"/>
        <v>40544</v>
      </c>
      <c r="BY179" s="127">
        <f t="shared" si="104"/>
        <v>40575</v>
      </c>
      <c r="BZ179" s="127">
        <f t="shared" si="105"/>
        <v>40603</v>
      </c>
      <c r="CA179" s="127">
        <f t="shared" si="106"/>
        <v>40628.01</v>
      </c>
      <c r="CB179" s="127">
        <f t="shared" si="107"/>
        <v>40634</v>
      </c>
      <c r="CC179" s="127">
        <f t="shared" si="108"/>
        <v>40664</v>
      </c>
      <c r="CD179" s="127">
        <f t="shared" si="109"/>
        <v>40695</v>
      </c>
      <c r="CE179" s="127">
        <f t="shared" si="110"/>
        <v>40725</v>
      </c>
      <c r="CF179" s="127">
        <f t="shared" si="111"/>
        <v>40756</v>
      </c>
      <c r="CG179" s="127">
        <f t="shared" si="112"/>
        <v>40787</v>
      </c>
      <c r="CH179" s="127">
        <f t="shared" si="113"/>
        <v>40817</v>
      </c>
      <c r="CI179" s="127">
        <f t="shared" si="114"/>
        <v>0</v>
      </c>
      <c r="CJ179" s="127">
        <f t="shared" si="115"/>
        <v>0</v>
      </c>
      <c r="CK179" s="127">
        <f t="shared" si="116"/>
        <v>0</v>
      </c>
      <c r="CL179" s="127">
        <f t="shared" si="117"/>
        <v>0</v>
      </c>
      <c r="CM179" s="127">
        <f t="shared" si="118"/>
        <v>0</v>
      </c>
      <c r="CN179" s="127">
        <f t="shared" si="119"/>
        <v>0</v>
      </c>
      <c r="CO179" s="127">
        <f t="shared" si="120"/>
        <v>0</v>
      </c>
      <c r="CP179" s="127">
        <f t="shared" si="121"/>
        <v>0</v>
      </c>
      <c r="CQ179" s="127">
        <f t="shared" si="122"/>
        <v>0</v>
      </c>
      <c r="CR179" s="127">
        <f t="shared" si="58"/>
        <v>40634</v>
      </c>
      <c r="CS179" s="127">
        <f t="shared" si="59"/>
        <v>40634</v>
      </c>
      <c r="CT179" s="127">
        <f t="shared" si="60"/>
        <v>40634</v>
      </c>
      <c r="CU179" s="127">
        <f t="shared" si="61"/>
        <v>40634</v>
      </c>
      <c r="CV179" s="127">
        <f t="shared" si="62"/>
        <v>40634</v>
      </c>
      <c r="CW179" s="127">
        <f t="shared" si="63"/>
        <v>40634</v>
      </c>
      <c r="CX179" s="127">
        <f t="shared" si="64"/>
        <v>40634</v>
      </c>
      <c r="CY179" s="127">
        <f t="shared" si="65"/>
        <v>40634</v>
      </c>
      <c r="CZ179" s="127">
        <f t="shared" si="66"/>
        <v>40634</v>
      </c>
      <c r="DA179" s="127">
        <f t="shared" si="67"/>
        <v>40634</v>
      </c>
      <c r="DB179" s="127">
        <f t="shared" si="68"/>
        <v>40634</v>
      </c>
      <c r="DC179" s="127">
        <f t="shared" si="69"/>
        <v>40634</v>
      </c>
      <c r="DD179" s="127">
        <f t="shared" si="70"/>
        <v>40634</v>
      </c>
      <c r="DE179" s="127">
        <f t="shared" si="71"/>
        <v>40634</v>
      </c>
      <c r="DF179" s="127">
        <f t="shared" si="72"/>
        <v>40634</v>
      </c>
      <c r="DG179" s="127" t="str">
        <f t="shared" si="73"/>
        <v> </v>
      </c>
      <c r="DH179" s="127" t="str">
        <f t="shared" si="74"/>
        <v> </v>
      </c>
      <c r="DI179" s="127" t="str">
        <f t="shared" si="75"/>
        <v> </v>
      </c>
      <c r="DJ179" s="127" t="str">
        <f t="shared" si="76"/>
        <v> </v>
      </c>
      <c r="DK179" s="127" t="str">
        <f t="shared" si="77"/>
        <v> </v>
      </c>
      <c r="DL179" s="127" t="str">
        <f t="shared" si="78"/>
        <v> </v>
      </c>
      <c r="DM179" s="127" t="str">
        <f t="shared" si="79"/>
        <v> </v>
      </c>
      <c r="DN179" s="127" t="str">
        <f t="shared" si="80"/>
        <v> </v>
      </c>
      <c r="DO179" s="127" t="str">
        <f t="shared" si="81"/>
        <v> </v>
      </c>
      <c r="DP179" s="127" t="str">
        <f t="shared" si="82"/>
        <v> </v>
      </c>
      <c r="DQ179" s="127" t="str">
        <f t="shared" si="83"/>
        <v> </v>
      </c>
      <c r="DR179" s="127" t="str">
        <f t="shared" si="84"/>
        <v> </v>
      </c>
      <c r="DS179" s="127" t="str">
        <f t="shared" si="85"/>
        <v> </v>
      </c>
      <c r="DT179" s="127" t="str">
        <f t="shared" si="86"/>
        <v> </v>
      </c>
      <c r="DU179" s="127" t="str">
        <f t="shared" si="87"/>
        <v> </v>
      </c>
      <c r="DV179" s="127" t="str">
        <f t="shared" si="88"/>
        <v> </v>
      </c>
      <c r="DW179" s="127"/>
    </row>
    <row r="180" spans="3:127" ht="12.75" hidden="1">
      <c r="C180" s="111"/>
      <c r="AN180">
        <v>24</v>
      </c>
      <c r="AP180">
        <v>1995</v>
      </c>
      <c r="AX180" s="111">
        <f t="shared" si="54"/>
        <v>40210</v>
      </c>
      <c r="AY180" s="111">
        <f t="shared" si="89"/>
        <v>40210</v>
      </c>
      <c r="AZ180" s="111">
        <f t="shared" si="90"/>
        <v>40210</v>
      </c>
      <c r="BA180" s="127">
        <f t="shared" si="91"/>
        <v>40817.01</v>
      </c>
      <c r="BB180" s="127">
        <v>40664</v>
      </c>
      <c r="BC180" s="127">
        <f t="shared" si="55"/>
        <v>40664</v>
      </c>
      <c r="BD180" s="127">
        <f>IF(BC180&gt;BA180,AX165,BC180)</f>
        <v>40664</v>
      </c>
      <c r="BE180" s="127">
        <f t="shared" si="92"/>
        <v>40210</v>
      </c>
      <c r="BF180" s="127">
        <f t="shared" si="93"/>
        <v>40238</v>
      </c>
      <c r="BG180" s="127">
        <f t="shared" si="94"/>
        <v>40269</v>
      </c>
      <c r="BH180" s="127">
        <f t="shared" si="95"/>
        <v>40299</v>
      </c>
      <c r="BI180" s="127"/>
      <c r="BJ180" s="111">
        <v>40876</v>
      </c>
      <c r="BK180" s="127">
        <v>39757</v>
      </c>
      <c r="BL180" s="127"/>
      <c r="BM180" s="127"/>
      <c r="BN180" s="127"/>
      <c r="BO180" s="127"/>
      <c r="BP180" s="127"/>
      <c r="BQ180" s="127">
        <f t="shared" si="96"/>
        <v>40330</v>
      </c>
      <c r="BR180" s="127">
        <f t="shared" si="97"/>
        <v>40360</v>
      </c>
      <c r="BS180" s="127">
        <f t="shared" si="98"/>
        <v>40391</v>
      </c>
      <c r="BT180" s="127">
        <f t="shared" si="99"/>
        <v>40422</v>
      </c>
      <c r="BU180" s="127">
        <f t="shared" si="100"/>
        <v>40452</v>
      </c>
      <c r="BV180" s="127">
        <f t="shared" si="101"/>
        <v>40483</v>
      </c>
      <c r="BW180" s="127">
        <f t="shared" si="102"/>
        <v>40513</v>
      </c>
      <c r="BX180" s="127">
        <f t="shared" si="103"/>
        <v>40544</v>
      </c>
      <c r="BY180" s="127">
        <f t="shared" si="104"/>
        <v>40575</v>
      </c>
      <c r="BZ180" s="127">
        <f t="shared" si="105"/>
        <v>40603</v>
      </c>
      <c r="CA180" s="127">
        <f t="shared" si="106"/>
        <v>40628.01</v>
      </c>
      <c r="CB180" s="127">
        <f t="shared" si="107"/>
        <v>40634</v>
      </c>
      <c r="CC180" s="127">
        <f t="shared" si="108"/>
        <v>40664</v>
      </c>
      <c r="CD180" s="127">
        <f t="shared" si="109"/>
        <v>40695</v>
      </c>
      <c r="CE180" s="127">
        <f t="shared" si="110"/>
        <v>40725</v>
      </c>
      <c r="CF180" s="127">
        <f t="shared" si="111"/>
        <v>40756</v>
      </c>
      <c r="CG180" s="127">
        <f t="shared" si="112"/>
        <v>40787</v>
      </c>
      <c r="CH180" s="127">
        <f t="shared" si="113"/>
        <v>40817</v>
      </c>
      <c r="CI180" s="127">
        <f t="shared" si="114"/>
        <v>0</v>
      </c>
      <c r="CJ180" s="127">
        <f t="shared" si="115"/>
        <v>0</v>
      </c>
      <c r="CK180" s="127">
        <f t="shared" si="116"/>
        <v>0</v>
      </c>
      <c r="CL180" s="127">
        <f t="shared" si="117"/>
        <v>0</v>
      </c>
      <c r="CM180" s="127">
        <f t="shared" si="118"/>
        <v>0</v>
      </c>
      <c r="CN180" s="127">
        <f t="shared" si="119"/>
        <v>0</v>
      </c>
      <c r="CO180" s="127">
        <f t="shared" si="120"/>
        <v>0</v>
      </c>
      <c r="CP180" s="127">
        <f t="shared" si="121"/>
        <v>0</v>
      </c>
      <c r="CQ180" s="127">
        <f t="shared" si="122"/>
        <v>0</v>
      </c>
      <c r="CR180" s="127">
        <f t="shared" si="58"/>
        <v>40664</v>
      </c>
      <c r="CS180" s="127">
        <f t="shared" si="59"/>
        <v>40664</v>
      </c>
      <c r="CT180" s="127">
        <f t="shared" si="60"/>
        <v>40664</v>
      </c>
      <c r="CU180" s="127">
        <f t="shared" si="61"/>
        <v>40664</v>
      </c>
      <c r="CV180" s="127">
        <f t="shared" si="62"/>
        <v>40664</v>
      </c>
      <c r="CW180" s="127">
        <f t="shared" si="63"/>
        <v>40664</v>
      </c>
      <c r="CX180" s="127">
        <f t="shared" si="64"/>
        <v>40664</v>
      </c>
      <c r="CY180" s="127">
        <f t="shared" si="65"/>
        <v>40664</v>
      </c>
      <c r="CZ180" s="127">
        <f t="shared" si="66"/>
        <v>40664</v>
      </c>
      <c r="DA180" s="127">
        <f t="shared" si="67"/>
        <v>40664</v>
      </c>
      <c r="DB180" s="127">
        <f t="shared" si="68"/>
        <v>40664</v>
      </c>
      <c r="DC180" s="127">
        <f t="shared" si="69"/>
        <v>40664</v>
      </c>
      <c r="DD180" s="127">
        <f t="shared" si="70"/>
        <v>40664</v>
      </c>
      <c r="DE180" s="127">
        <f t="shared" si="71"/>
        <v>40664</v>
      </c>
      <c r="DF180" s="127">
        <f t="shared" si="72"/>
        <v>40664</v>
      </c>
      <c r="DG180" s="127">
        <f t="shared" si="73"/>
        <v>40664</v>
      </c>
      <c r="DH180" s="127" t="str">
        <f t="shared" si="74"/>
        <v> </v>
      </c>
      <c r="DI180" s="127" t="str">
        <f t="shared" si="75"/>
        <v> </v>
      </c>
      <c r="DJ180" s="127" t="str">
        <f t="shared" si="76"/>
        <v> </v>
      </c>
      <c r="DK180" s="127" t="str">
        <f t="shared" si="77"/>
        <v> </v>
      </c>
      <c r="DL180" s="127" t="str">
        <f t="shared" si="78"/>
        <v> </v>
      </c>
      <c r="DM180" s="127" t="str">
        <f t="shared" si="79"/>
        <v> </v>
      </c>
      <c r="DN180" s="127" t="str">
        <f t="shared" si="80"/>
        <v> </v>
      </c>
      <c r="DO180" s="127" t="str">
        <f t="shared" si="81"/>
        <v> </v>
      </c>
      <c r="DP180" s="127" t="str">
        <f t="shared" si="82"/>
        <v> </v>
      </c>
      <c r="DQ180" s="127" t="str">
        <f t="shared" si="83"/>
        <v> </v>
      </c>
      <c r="DR180" s="127" t="str">
        <f t="shared" si="84"/>
        <v> </v>
      </c>
      <c r="DS180" s="127" t="str">
        <f t="shared" si="85"/>
        <v> </v>
      </c>
      <c r="DT180" s="127" t="str">
        <f t="shared" si="86"/>
        <v> </v>
      </c>
      <c r="DU180" s="127" t="str">
        <f t="shared" si="87"/>
        <v> </v>
      </c>
      <c r="DV180" s="127" t="str">
        <f t="shared" si="88"/>
        <v> </v>
      </c>
      <c r="DW180" s="127"/>
    </row>
    <row r="181" spans="3:127" ht="12.75" hidden="1">
      <c r="C181" s="111"/>
      <c r="AN181">
        <v>25</v>
      </c>
      <c r="AP181">
        <v>1996</v>
      </c>
      <c r="AX181" s="111">
        <f t="shared" si="54"/>
        <v>40210</v>
      </c>
      <c r="AY181" s="111">
        <f t="shared" si="89"/>
        <v>40210</v>
      </c>
      <c r="AZ181" s="111">
        <f t="shared" si="90"/>
        <v>40210</v>
      </c>
      <c r="BA181" s="127">
        <f t="shared" si="91"/>
        <v>40817.01</v>
      </c>
      <c r="BB181" s="127">
        <v>40695</v>
      </c>
      <c r="BC181" s="127">
        <f t="shared" si="55"/>
        <v>40695</v>
      </c>
      <c r="BD181" s="127">
        <f>IF(BC181&gt;BA181,AX165,BC181)</f>
        <v>40695</v>
      </c>
      <c r="BE181" s="127">
        <f t="shared" si="92"/>
        <v>40210</v>
      </c>
      <c r="BF181" s="127">
        <f t="shared" si="93"/>
        <v>40238</v>
      </c>
      <c r="BG181" s="127">
        <f t="shared" si="94"/>
        <v>40269</v>
      </c>
      <c r="BH181" s="127">
        <f t="shared" si="95"/>
        <v>40299</v>
      </c>
      <c r="BI181" s="127"/>
      <c r="BJ181" s="111">
        <v>40877</v>
      </c>
      <c r="BK181" s="127">
        <v>39758</v>
      </c>
      <c r="BL181" s="127"/>
      <c r="BM181" s="127"/>
      <c r="BN181" s="127"/>
      <c r="BO181" s="127"/>
      <c r="BP181" s="127"/>
      <c r="BQ181" s="127">
        <f t="shared" si="96"/>
        <v>40330</v>
      </c>
      <c r="BR181" s="127">
        <f t="shared" si="97"/>
        <v>40360</v>
      </c>
      <c r="BS181" s="127">
        <f t="shared" si="98"/>
        <v>40391</v>
      </c>
      <c r="BT181" s="127">
        <f t="shared" si="99"/>
        <v>40422</v>
      </c>
      <c r="BU181" s="127">
        <f t="shared" si="100"/>
        <v>40452</v>
      </c>
      <c r="BV181" s="127">
        <f t="shared" si="101"/>
        <v>40483</v>
      </c>
      <c r="BW181" s="127">
        <f t="shared" si="102"/>
        <v>40513</v>
      </c>
      <c r="BX181" s="127">
        <f t="shared" si="103"/>
        <v>40544</v>
      </c>
      <c r="BY181" s="127">
        <f t="shared" si="104"/>
        <v>40575</v>
      </c>
      <c r="BZ181" s="127">
        <f t="shared" si="105"/>
        <v>40603</v>
      </c>
      <c r="CA181" s="127">
        <f t="shared" si="106"/>
        <v>40628.01</v>
      </c>
      <c r="CB181" s="127">
        <f t="shared" si="107"/>
        <v>40634</v>
      </c>
      <c r="CC181" s="127">
        <f t="shared" si="108"/>
        <v>40664</v>
      </c>
      <c r="CD181" s="127">
        <f t="shared" si="109"/>
        <v>40695</v>
      </c>
      <c r="CE181" s="127">
        <f t="shared" si="110"/>
        <v>40725</v>
      </c>
      <c r="CF181" s="127">
        <f t="shared" si="111"/>
        <v>40756</v>
      </c>
      <c r="CG181" s="127">
        <f t="shared" si="112"/>
        <v>40787</v>
      </c>
      <c r="CH181" s="127">
        <f t="shared" si="113"/>
        <v>40817</v>
      </c>
      <c r="CI181" s="127">
        <f t="shared" si="114"/>
        <v>0</v>
      </c>
      <c r="CJ181" s="127">
        <f t="shared" si="115"/>
        <v>0</v>
      </c>
      <c r="CK181" s="127">
        <f t="shared" si="116"/>
        <v>0</v>
      </c>
      <c r="CL181" s="127">
        <f t="shared" si="117"/>
        <v>0</v>
      </c>
      <c r="CM181" s="127">
        <f t="shared" si="118"/>
        <v>0</v>
      </c>
      <c r="CN181" s="127">
        <f t="shared" si="119"/>
        <v>0</v>
      </c>
      <c r="CO181" s="127">
        <f t="shared" si="120"/>
        <v>0</v>
      </c>
      <c r="CP181" s="127">
        <f t="shared" si="121"/>
        <v>0</v>
      </c>
      <c r="CQ181" s="127">
        <f t="shared" si="122"/>
        <v>0</v>
      </c>
      <c r="CR181" s="127">
        <f t="shared" si="58"/>
        <v>40695</v>
      </c>
      <c r="CS181" s="127">
        <f t="shared" si="59"/>
        <v>40695</v>
      </c>
      <c r="CT181" s="127">
        <f t="shared" si="60"/>
        <v>40695</v>
      </c>
      <c r="CU181" s="127">
        <f t="shared" si="61"/>
        <v>40695</v>
      </c>
      <c r="CV181" s="127">
        <f t="shared" si="62"/>
        <v>40695</v>
      </c>
      <c r="CW181" s="127">
        <f t="shared" si="63"/>
        <v>40695</v>
      </c>
      <c r="CX181" s="127">
        <f t="shared" si="64"/>
        <v>40695</v>
      </c>
      <c r="CY181" s="127">
        <f t="shared" si="65"/>
        <v>40695</v>
      </c>
      <c r="CZ181" s="127">
        <f t="shared" si="66"/>
        <v>40695</v>
      </c>
      <c r="DA181" s="127">
        <f t="shared" si="67"/>
        <v>40695</v>
      </c>
      <c r="DB181" s="127">
        <f t="shared" si="68"/>
        <v>40695</v>
      </c>
      <c r="DC181" s="127">
        <f t="shared" si="69"/>
        <v>40695</v>
      </c>
      <c r="DD181" s="127">
        <f t="shared" si="70"/>
        <v>40695</v>
      </c>
      <c r="DE181" s="127">
        <f t="shared" si="71"/>
        <v>40695</v>
      </c>
      <c r="DF181" s="127">
        <f t="shared" si="72"/>
        <v>40695</v>
      </c>
      <c r="DG181" s="127">
        <f t="shared" si="73"/>
        <v>40695</v>
      </c>
      <c r="DH181" s="127">
        <f t="shared" si="74"/>
        <v>40695</v>
      </c>
      <c r="DI181" s="127" t="str">
        <f t="shared" si="75"/>
        <v> </v>
      </c>
      <c r="DJ181" s="127" t="str">
        <f t="shared" si="76"/>
        <v> </v>
      </c>
      <c r="DK181" s="127" t="str">
        <f t="shared" si="77"/>
        <v> </v>
      </c>
      <c r="DL181" s="127" t="str">
        <f t="shared" si="78"/>
        <v> </v>
      </c>
      <c r="DM181" s="127" t="str">
        <f t="shared" si="79"/>
        <v> </v>
      </c>
      <c r="DN181" s="127" t="str">
        <f t="shared" si="80"/>
        <v> </v>
      </c>
      <c r="DO181" s="127" t="str">
        <f t="shared" si="81"/>
        <v> </v>
      </c>
      <c r="DP181" s="127" t="str">
        <f t="shared" si="82"/>
        <v> </v>
      </c>
      <c r="DQ181" s="127" t="str">
        <f t="shared" si="83"/>
        <v> </v>
      </c>
      <c r="DR181" s="127" t="str">
        <f t="shared" si="84"/>
        <v> </v>
      </c>
      <c r="DS181" s="127" t="str">
        <f t="shared" si="85"/>
        <v> </v>
      </c>
      <c r="DT181" s="127" t="str">
        <f t="shared" si="86"/>
        <v> </v>
      </c>
      <c r="DU181" s="127" t="str">
        <f t="shared" si="87"/>
        <v> </v>
      </c>
      <c r="DV181" s="127" t="str">
        <f t="shared" si="88"/>
        <v> </v>
      </c>
      <c r="DW181" s="127"/>
    </row>
    <row r="182" spans="3:127" ht="12.75" hidden="1">
      <c r="C182" s="111"/>
      <c r="F182" s="164"/>
      <c r="G182" s="164"/>
      <c r="H182" s="164"/>
      <c r="I182" s="164"/>
      <c r="J182" s="164"/>
      <c r="K182" s="164"/>
      <c r="L182" s="124"/>
      <c r="O182" s="101"/>
      <c r="P182" s="101"/>
      <c r="R182" s="101"/>
      <c r="S182" s="101"/>
      <c r="T182" s="111"/>
      <c r="AN182">
        <v>26</v>
      </c>
      <c r="AP182">
        <v>1997</v>
      </c>
      <c r="AX182" s="111">
        <f t="shared" si="54"/>
        <v>40210</v>
      </c>
      <c r="AY182" s="111">
        <f t="shared" si="89"/>
        <v>40210</v>
      </c>
      <c r="AZ182" s="111">
        <f t="shared" si="90"/>
        <v>40210</v>
      </c>
      <c r="BA182" s="127">
        <f t="shared" si="91"/>
        <v>40817.01</v>
      </c>
      <c r="BB182" s="127">
        <v>40725</v>
      </c>
      <c r="BC182" s="127">
        <f t="shared" si="55"/>
        <v>40725</v>
      </c>
      <c r="BD182" s="127">
        <f>IF(BC182&gt;BA182,AX165,BC182)</f>
        <v>40725</v>
      </c>
      <c r="BE182" s="127">
        <f t="shared" si="92"/>
        <v>40210</v>
      </c>
      <c r="BF182" s="127">
        <f t="shared" si="93"/>
        <v>40238</v>
      </c>
      <c r="BG182" s="127">
        <f t="shared" si="94"/>
        <v>40269</v>
      </c>
      <c r="BH182" s="127">
        <f t="shared" si="95"/>
        <v>40299</v>
      </c>
      <c r="BI182" s="127"/>
      <c r="BJ182" s="111">
        <v>40878</v>
      </c>
      <c r="BK182" s="127">
        <v>39759</v>
      </c>
      <c r="BL182" s="127"/>
      <c r="BM182" s="127"/>
      <c r="BN182" s="127"/>
      <c r="BO182" s="127"/>
      <c r="BP182" s="127"/>
      <c r="BQ182" s="127">
        <f t="shared" si="96"/>
        <v>40330</v>
      </c>
      <c r="BR182" s="127">
        <f t="shared" si="97"/>
        <v>40360</v>
      </c>
      <c r="BS182" s="127">
        <f t="shared" si="98"/>
        <v>40391</v>
      </c>
      <c r="BT182" s="127">
        <f t="shared" si="99"/>
        <v>40422</v>
      </c>
      <c r="BU182" s="127">
        <f t="shared" si="100"/>
        <v>40452</v>
      </c>
      <c r="BV182" s="127">
        <f t="shared" si="101"/>
        <v>40483</v>
      </c>
      <c r="BW182" s="127">
        <f t="shared" si="102"/>
        <v>40513</v>
      </c>
      <c r="BX182" s="127">
        <f t="shared" si="103"/>
        <v>40544</v>
      </c>
      <c r="BY182" s="127">
        <f t="shared" si="104"/>
        <v>40575</v>
      </c>
      <c r="BZ182" s="127">
        <f t="shared" si="105"/>
        <v>40603</v>
      </c>
      <c r="CA182" s="127">
        <f t="shared" si="106"/>
        <v>40628.01</v>
      </c>
      <c r="CB182" s="127">
        <f t="shared" si="107"/>
        <v>40634</v>
      </c>
      <c r="CC182" s="127">
        <f t="shared" si="108"/>
        <v>40664</v>
      </c>
      <c r="CD182" s="127">
        <f t="shared" si="109"/>
        <v>40695</v>
      </c>
      <c r="CE182" s="127">
        <f t="shared" si="110"/>
        <v>40725</v>
      </c>
      <c r="CF182" s="127">
        <f t="shared" si="111"/>
        <v>40756</v>
      </c>
      <c r="CG182" s="127">
        <f t="shared" si="112"/>
        <v>40787</v>
      </c>
      <c r="CH182" s="127">
        <f t="shared" si="113"/>
        <v>40817</v>
      </c>
      <c r="CI182" s="127">
        <f t="shared" si="114"/>
        <v>0</v>
      </c>
      <c r="CJ182" s="127">
        <f t="shared" si="115"/>
        <v>0</v>
      </c>
      <c r="CK182" s="127">
        <f t="shared" si="116"/>
        <v>0</v>
      </c>
      <c r="CL182" s="127">
        <f t="shared" si="117"/>
        <v>0</v>
      </c>
      <c r="CM182" s="127">
        <f t="shared" si="118"/>
        <v>0</v>
      </c>
      <c r="CN182" s="127">
        <f t="shared" si="119"/>
        <v>0</v>
      </c>
      <c r="CO182" s="127">
        <f t="shared" si="120"/>
        <v>0</v>
      </c>
      <c r="CP182" s="127">
        <f t="shared" si="121"/>
        <v>0</v>
      </c>
      <c r="CQ182" s="127">
        <f t="shared" si="122"/>
        <v>0</v>
      </c>
      <c r="CR182" s="127">
        <f t="shared" si="58"/>
        <v>40725</v>
      </c>
      <c r="CS182" s="127">
        <f t="shared" si="59"/>
        <v>40725</v>
      </c>
      <c r="CT182" s="127">
        <f t="shared" si="60"/>
        <v>40725</v>
      </c>
      <c r="CU182" s="127">
        <f t="shared" si="61"/>
        <v>40725</v>
      </c>
      <c r="CV182" s="127">
        <f t="shared" si="62"/>
        <v>40725</v>
      </c>
      <c r="CW182" s="127">
        <f t="shared" si="63"/>
        <v>40725</v>
      </c>
      <c r="CX182" s="127">
        <f t="shared" si="64"/>
        <v>40725</v>
      </c>
      <c r="CY182" s="127">
        <f t="shared" si="65"/>
        <v>40725</v>
      </c>
      <c r="CZ182" s="127">
        <f t="shared" si="66"/>
        <v>40725</v>
      </c>
      <c r="DA182" s="127">
        <f t="shared" si="67"/>
        <v>40725</v>
      </c>
      <c r="DB182" s="127">
        <f t="shared" si="68"/>
        <v>40725</v>
      </c>
      <c r="DC182" s="127">
        <f t="shared" si="69"/>
        <v>40725</v>
      </c>
      <c r="DD182" s="127">
        <f t="shared" si="70"/>
        <v>40725</v>
      </c>
      <c r="DE182" s="127">
        <f t="shared" si="71"/>
        <v>40725</v>
      </c>
      <c r="DF182" s="127">
        <f t="shared" si="72"/>
        <v>40725</v>
      </c>
      <c r="DG182" s="127">
        <f t="shared" si="73"/>
        <v>40725</v>
      </c>
      <c r="DH182" s="127">
        <f t="shared" si="74"/>
        <v>40725</v>
      </c>
      <c r="DI182" s="127">
        <f t="shared" si="75"/>
        <v>40725</v>
      </c>
      <c r="DJ182" s="127" t="str">
        <f t="shared" si="76"/>
        <v> </v>
      </c>
      <c r="DK182" s="127" t="str">
        <f t="shared" si="77"/>
        <v> </v>
      </c>
      <c r="DL182" s="127" t="str">
        <f t="shared" si="78"/>
        <v> </v>
      </c>
      <c r="DM182" s="127" t="str">
        <f t="shared" si="79"/>
        <v> </v>
      </c>
      <c r="DN182" s="127" t="str">
        <f t="shared" si="80"/>
        <v> </v>
      </c>
      <c r="DO182" s="127" t="str">
        <f t="shared" si="81"/>
        <v> </v>
      </c>
      <c r="DP182" s="127" t="str">
        <f t="shared" si="82"/>
        <v> </v>
      </c>
      <c r="DQ182" s="127" t="str">
        <f t="shared" si="83"/>
        <v> </v>
      </c>
      <c r="DR182" s="127" t="str">
        <f t="shared" si="84"/>
        <v> </v>
      </c>
      <c r="DS182" s="127" t="str">
        <f t="shared" si="85"/>
        <v> </v>
      </c>
      <c r="DT182" s="127" t="str">
        <f t="shared" si="86"/>
        <v> </v>
      </c>
      <c r="DU182" s="127" t="str">
        <f t="shared" si="87"/>
        <v> </v>
      </c>
      <c r="DV182" s="127" t="str">
        <f t="shared" si="88"/>
        <v> </v>
      </c>
      <c r="DW182" s="127"/>
    </row>
    <row r="183" spans="3:127" ht="12.75" hidden="1">
      <c r="C183" s="111"/>
      <c r="F183" s="164"/>
      <c r="G183" s="164"/>
      <c r="H183" s="164"/>
      <c r="I183" s="164"/>
      <c r="J183" s="164"/>
      <c r="K183" s="164"/>
      <c r="L183" s="124"/>
      <c r="O183" s="101"/>
      <c r="P183" s="101"/>
      <c r="R183" s="101"/>
      <c r="S183" s="101"/>
      <c r="T183" s="111"/>
      <c r="AN183">
        <v>27</v>
      </c>
      <c r="AP183">
        <v>1998</v>
      </c>
      <c r="AX183" s="111">
        <f t="shared" si="54"/>
        <v>40210</v>
      </c>
      <c r="AY183" s="111">
        <f t="shared" si="89"/>
        <v>40210</v>
      </c>
      <c r="AZ183" s="111">
        <f t="shared" si="90"/>
        <v>40210</v>
      </c>
      <c r="BA183" s="127">
        <f t="shared" si="91"/>
        <v>40817.01</v>
      </c>
      <c r="BB183" s="127">
        <v>40756</v>
      </c>
      <c r="BC183" s="127">
        <f t="shared" si="55"/>
        <v>40756</v>
      </c>
      <c r="BD183" s="127">
        <f>IF(BC183&gt;BA183,AX165,BC183)</f>
        <v>40756</v>
      </c>
      <c r="BE183" s="127">
        <f t="shared" si="92"/>
        <v>40210</v>
      </c>
      <c r="BF183" s="127">
        <f t="shared" si="93"/>
        <v>40238</v>
      </c>
      <c r="BG183" s="127">
        <f t="shared" si="94"/>
        <v>40269</v>
      </c>
      <c r="BH183" s="127">
        <f t="shared" si="95"/>
        <v>40299</v>
      </c>
      <c r="BI183" s="127"/>
      <c r="BJ183" s="111">
        <v>40879</v>
      </c>
      <c r="BK183" s="127">
        <v>39760</v>
      </c>
      <c r="BL183" s="127"/>
      <c r="BM183" s="127"/>
      <c r="BN183" s="127"/>
      <c r="BO183" s="127"/>
      <c r="BP183" s="127"/>
      <c r="BQ183" s="127">
        <f t="shared" si="96"/>
        <v>40330</v>
      </c>
      <c r="BR183" s="127">
        <f t="shared" si="97"/>
        <v>40360</v>
      </c>
      <c r="BS183" s="127">
        <f t="shared" si="98"/>
        <v>40391</v>
      </c>
      <c r="BT183" s="127">
        <f t="shared" si="99"/>
        <v>40422</v>
      </c>
      <c r="BU183" s="127">
        <f t="shared" si="100"/>
        <v>40452</v>
      </c>
      <c r="BV183" s="127">
        <f t="shared" si="101"/>
        <v>40483</v>
      </c>
      <c r="BW183" s="127">
        <f t="shared" si="102"/>
        <v>40513</v>
      </c>
      <c r="BX183" s="127">
        <f t="shared" si="103"/>
        <v>40544</v>
      </c>
      <c r="BY183" s="127">
        <f t="shared" si="104"/>
        <v>40575</v>
      </c>
      <c r="BZ183" s="127">
        <f t="shared" si="105"/>
        <v>40603</v>
      </c>
      <c r="CA183" s="127">
        <f t="shared" si="106"/>
        <v>40628.01</v>
      </c>
      <c r="CB183" s="127">
        <f t="shared" si="107"/>
        <v>40634</v>
      </c>
      <c r="CC183" s="127">
        <f t="shared" si="108"/>
        <v>40664</v>
      </c>
      <c r="CD183" s="127">
        <f t="shared" si="109"/>
        <v>40695</v>
      </c>
      <c r="CE183" s="127">
        <f t="shared" si="110"/>
        <v>40725</v>
      </c>
      <c r="CF183" s="127">
        <f t="shared" si="111"/>
        <v>40756</v>
      </c>
      <c r="CG183" s="127">
        <f t="shared" si="112"/>
        <v>40787</v>
      </c>
      <c r="CH183" s="127">
        <f t="shared" si="113"/>
        <v>40817</v>
      </c>
      <c r="CI183" s="127">
        <f t="shared" si="114"/>
        <v>0</v>
      </c>
      <c r="CJ183" s="127">
        <f t="shared" si="115"/>
        <v>0</v>
      </c>
      <c r="CK183" s="127">
        <f t="shared" si="116"/>
        <v>0</v>
      </c>
      <c r="CL183" s="127">
        <f t="shared" si="117"/>
        <v>0</v>
      </c>
      <c r="CM183" s="127">
        <f t="shared" si="118"/>
        <v>0</v>
      </c>
      <c r="CN183" s="127">
        <f t="shared" si="119"/>
        <v>0</v>
      </c>
      <c r="CO183" s="127">
        <f t="shared" si="120"/>
        <v>0</v>
      </c>
      <c r="CP183" s="127">
        <f t="shared" si="121"/>
        <v>0</v>
      </c>
      <c r="CQ183" s="127">
        <f t="shared" si="122"/>
        <v>0</v>
      </c>
      <c r="CR183" s="127">
        <f t="shared" si="58"/>
        <v>40756</v>
      </c>
      <c r="CS183" s="127">
        <f t="shared" si="59"/>
        <v>40756</v>
      </c>
      <c r="CT183" s="127">
        <f t="shared" si="60"/>
        <v>40756</v>
      </c>
      <c r="CU183" s="127">
        <f t="shared" si="61"/>
        <v>40756</v>
      </c>
      <c r="CV183" s="127">
        <f t="shared" si="62"/>
        <v>40756</v>
      </c>
      <c r="CW183" s="127">
        <f t="shared" si="63"/>
        <v>40756</v>
      </c>
      <c r="CX183" s="127">
        <f t="shared" si="64"/>
        <v>40756</v>
      </c>
      <c r="CY183" s="127">
        <f t="shared" si="65"/>
        <v>40756</v>
      </c>
      <c r="CZ183" s="127">
        <f t="shared" si="66"/>
        <v>40756</v>
      </c>
      <c r="DA183" s="127">
        <f t="shared" si="67"/>
        <v>40756</v>
      </c>
      <c r="DB183" s="127">
        <f t="shared" si="68"/>
        <v>40756</v>
      </c>
      <c r="DC183" s="127">
        <f t="shared" si="69"/>
        <v>40756</v>
      </c>
      <c r="DD183" s="127">
        <f t="shared" si="70"/>
        <v>40756</v>
      </c>
      <c r="DE183" s="127">
        <f t="shared" si="71"/>
        <v>40756</v>
      </c>
      <c r="DF183" s="127">
        <f t="shared" si="72"/>
        <v>40756</v>
      </c>
      <c r="DG183" s="127">
        <f t="shared" si="73"/>
        <v>40756</v>
      </c>
      <c r="DH183" s="127">
        <f t="shared" si="74"/>
        <v>40756</v>
      </c>
      <c r="DI183" s="127">
        <f t="shared" si="75"/>
        <v>40756</v>
      </c>
      <c r="DJ183" s="127">
        <f t="shared" si="76"/>
        <v>40756</v>
      </c>
      <c r="DK183" s="127" t="str">
        <f t="shared" si="77"/>
        <v> </v>
      </c>
      <c r="DL183" s="127" t="str">
        <f t="shared" si="78"/>
        <v> </v>
      </c>
      <c r="DM183" s="127" t="str">
        <f t="shared" si="79"/>
        <v> </v>
      </c>
      <c r="DN183" s="127" t="str">
        <f t="shared" si="80"/>
        <v> </v>
      </c>
      <c r="DO183" s="127" t="str">
        <f t="shared" si="81"/>
        <v> </v>
      </c>
      <c r="DP183" s="127" t="str">
        <f t="shared" si="82"/>
        <v> </v>
      </c>
      <c r="DQ183" s="127" t="str">
        <f t="shared" si="83"/>
        <v> </v>
      </c>
      <c r="DR183" s="127" t="str">
        <f t="shared" si="84"/>
        <v> </v>
      </c>
      <c r="DS183" s="127" t="str">
        <f t="shared" si="85"/>
        <v> </v>
      </c>
      <c r="DT183" s="127" t="str">
        <f t="shared" si="86"/>
        <v> </v>
      </c>
      <c r="DU183" s="127" t="str">
        <f t="shared" si="87"/>
        <v> </v>
      </c>
      <c r="DV183" s="127" t="str">
        <f t="shared" si="88"/>
        <v> </v>
      </c>
      <c r="DW183" s="127"/>
    </row>
    <row r="184" spans="3:127" ht="12.75" hidden="1">
      <c r="C184" s="111"/>
      <c r="F184" s="164"/>
      <c r="G184" s="164"/>
      <c r="H184" s="164"/>
      <c r="I184" s="164"/>
      <c r="J184" s="164"/>
      <c r="K184" s="164"/>
      <c r="L184" s="124"/>
      <c r="O184" s="101"/>
      <c r="P184" s="101"/>
      <c r="R184" s="101"/>
      <c r="S184" s="101"/>
      <c r="T184" s="111"/>
      <c r="AN184">
        <v>28</v>
      </c>
      <c r="AP184">
        <v>1999</v>
      </c>
      <c r="AX184" s="111">
        <f t="shared" si="54"/>
        <v>40210</v>
      </c>
      <c r="AY184" s="111">
        <f t="shared" si="89"/>
        <v>40210</v>
      </c>
      <c r="AZ184" s="111">
        <f t="shared" si="90"/>
        <v>40210</v>
      </c>
      <c r="BA184" s="127">
        <f t="shared" si="91"/>
        <v>40817.01</v>
      </c>
      <c r="BB184" s="127">
        <v>40787</v>
      </c>
      <c r="BC184" s="127">
        <f t="shared" si="55"/>
        <v>40787</v>
      </c>
      <c r="BD184" s="127">
        <f>IF(BC184&gt;BA184,AX165,BC184)</f>
        <v>40787</v>
      </c>
      <c r="BE184" s="127">
        <f t="shared" si="92"/>
        <v>40210</v>
      </c>
      <c r="BF184" s="127">
        <f t="shared" si="93"/>
        <v>40238</v>
      </c>
      <c r="BG184" s="127">
        <f t="shared" si="94"/>
        <v>40269</v>
      </c>
      <c r="BH184" s="127">
        <f t="shared" si="95"/>
        <v>40299</v>
      </c>
      <c r="BI184" s="127"/>
      <c r="BJ184" s="111">
        <v>40880</v>
      </c>
      <c r="BK184" s="127">
        <v>39761</v>
      </c>
      <c r="BL184" s="127"/>
      <c r="BM184" s="127"/>
      <c r="BN184" s="127"/>
      <c r="BO184" s="127"/>
      <c r="BP184" s="127"/>
      <c r="BQ184" s="127">
        <f t="shared" si="96"/>
        <v>40330</v>
      </c>
      <c r="BR184" s="127">
        <f t="shared" si="97"/>
        <v>40360</v>
      </c>
      <c r="BS184" s="127">
        <f t="shared" si="98"/>
        <v>40391</v>
      </c>
      <c r="BT184" s="127">
        <f t="shared" si="99"/>
        <v>40422</v>
      </c>
      <c r="BU184" s="127">
        <f t="shared" si="100"/>
        <v>40452</v>
      </c>
      <c r="BV184" s="127">
        <f t="shared" si="101"/>
        <v>40483</v>
      </c>
      <c r="BW184" s="127">
        <f t="shared" si="102"/>
        <v>40513</v>
      </c>
      <c r="BX184" s="127">
        <f t="shared" si="103"/>
        <v>40544</v>
      </c>
      <c r="BY184" s="127">
        <f t="shared" si="104"/>
        <v>40575</v>
      </c>
      <c r="BZ184" s="127">
        <f t="shared" si="105"/>
        <v>40603</v>
      </c>
      <c r="CA184" s="127">
        <f t="shared" si="106"/>
        <v>40628.01</v>
      </c>
      <c r="CB184" s="127">
        <f t="shared" si="107"/>
        <v>40634</v>
      </c>
      <c r="CC184" s="127">
        <f t="shared" si="108"/>
        <v>40664</v>
      </c>
      <c r="CD184" s="127">
        <f t="shared" si="109"/>
        <v>40695</v>
      </c>
      <c r="CE184" s="127">
        <f t="shared" si="110"/>
        <v>40725</v>
      </c>
      <c r="CF184" s="127">
        <f t="shared" si="111"/>
        <v>40756</v>
      </c>
      <c r="CG184" s="127">
        <f t="shared" si="112"/>
        <v>40787</v>
      </c>
      <c r="CH184" s="127">
        <f t="shared" si="113"/>
        <v>40817</v>
      </c>
      <c r="CI184" s="127">
        <f t="shared" si="114"/>
        <v>0</v>
      </c>
      <c r="CJ184" s="127">
        <f t="shared" si="115"/>
        <v>0</v>
      </c>
      <c r="CK184" s="127">
        <f t="shared" si="116"/>
        <v>0</v>
      </c>
      <c r="CL184" s="127">
        <f t="shared" si="117"/>
        <v>0</v>
      </c>
      <c r="CM184" s="127">
        <f t="shared" si="118"/>
        <v>0</v>
      </c>
      <c r="CN184" s="127">
        <f t="shared" si="119"/>
        <v>0</v>
      </c>
      <c r="CO184" s="127">
        <f t="shared" si="120"/>
        <v>0</v>
      </c>
      <c r="CP184" s="127">
        <f t="shared" si="121"/>
        <v>0</v>
      </c>
      <c r="CQ184" s="127">
        <f t="shared" si="122"/>
        <v>0</v>
      </c>
      <c r="CR184" s="127">
        <f t="shared" si="58"/>
        <v>40787</v>
      </c>
      <c r="CS184" s="127">
        <f t="shared" si="59"/>
        <v>40787</v>
      </c>
      <c r="CT184" s="127">
        <f t="shared" si="60"/>
        <v>40787</v>
      </c>
      <c r="CU184" s="127">
        <f t="shared" si="61"/>
        <v>40787</v>
      </c>
      <c r="CV184" s="127">
        <f t="shared" si="62"/>
        <v>40787</v>
      </c>
      <c r="CW184" s="127">
        <f t="shared" si="63"/>
        <v>40787</v>
      </c>
      <c r="CX184" s="127">
        <f t="shared" si="64"/>
        <v>40787</v>
      </c>
      <c r="CY184" s="127">
        <f t="shared" si="65"/>
        <v>40787</v>
      </c>
      <c r="CZ184" s="127">
        <f t="shared" si="66"/>
        <v>40787</v>
      </c>
      <c r="DA184" s="127">
        <f t="shared" si="67"/>
        <v>40787</v>
      </c>
      <c r="DB184" s="127">
        <f t="shared" si="68"/>
        <v>40787</v>
      </c>
      <c r="DC184" s="127">
        <f t="shared" si="69"/>
        <v>40787</v>
      </c>
      <c r="DD184" s="127">
        <f t="shared" si="70"/>
        <v>40787</v>
      </c>
      <c r="DE184" s="127">
        <f t="shared" si="71"/>
        <v>40787</v>
      </c>
      <c r="DF184" s="127">
        <f t="shared" si="72"/>
        <v>40787</v>
      </c>
      <c r="DG184" s="127">
        <f t="shared" si="73"/>
        <v>40787</v>
      </c>
      <c r="DH184" s="127">
        <f t="shared" si="74"/>
        <v>40787</v>
      </c>
      <c r="DI184" s="127">
        <f t="shared" si="75"/>
        <v>40787</v>
      </c>
      <c r="DJ184" s="127">
        <f t="shared" si="76"/>
        <v>40787</v>
      </c>
      <c r="DK184" s="127">
        <f t="shared" si="77"/>
        <v>40787</v>
      </c>
      <c r="DL184" s="127" t="str">
        <f t="shared" si="78"/>
        <v> </v>
      </c>
      <c r="DM184" s="127" t="str">
        <f t="shared" si="79"/>
        <v> </v>
      </c>
      <c r="DN184" s="127" t="str">
        <f t="shared" si="80"/>
        <v> </v>
      </c>
      <c r="DO184" s="127" t="str">
        <f t="shared" si="81"/>
        <v> </v>
      </c>
      <c r="DP184" s="127" t="str">
        <f t="shared" si="82"/>
        <v> </v>
      </c>
      <c r="DQ184" s="127" t="str">
        <f t="shared" si="83"/>
        <v> </v>
      </c>
      <c r="DR184" s="127" t="str">
        <f t="shared" si="84"/>
        <v> </v>
      </c>
      <c r="DS184" s="127" t="str">
        <f t="shared" si="85"/>
        <v> </v>
      </c>
      <c r="DT184" s="127" t="str">
        <f t="shared" si="86"/>
        <v> </v>
      </c>
      <c r="DU184" s="127" t="str">
        <f t="shared" si="87"/>
        <v> </v>
      </c>
      <c r="DV184" s="127" t="str">
        <f t="shared" si="88"/>
        <v> </v>
      </c>
      <c r="DW184" s="127"/>
    </row>
    <row r="185" spans="3:127" ht="12.75" hidden="1">
      <c r="C185" s="111"/>
      <c r="F185" s="164"/>
      <c r="G185" s="164"/>
      <c r="H185" s="164"/>
      <c r="I185" s="164"/>
      <c r="J185" s="164"/>
      <c r="K185" s="164"/>
      <c r="L185" s="124"/>
      <c r="O185" s="101"/>
      <c r="P185" s="101"/>
      <c r="R185" s="101"/>
      <c r="S185" s="101"/>
      <c r="T185" s="111"/>
      <c r="AB185" s="117"/>
      <c r="AN185">
        <v>29</v>
      </c>
      <c r="AP185">
        <v>2000</v>
      </c>
      <c r="AX185" s="111">
        <f t="shared" si="54"/>
        <v>40210</v>
      </c>
      <c r="AY185" s="111">
        <f t="shared" si="89"/>
        <v>40210</v>
      </c>
      <c r="AZ185" s="111">
        <f t="shared" si="90"/>
        <v>40210</v>
      </c>
      <c r="BA185" s="127">
        <f t="shared" si="91"/>
        <v>40817.01</v>
      </c>
      <c r="BB185" s="127">
        <v>40817</v>
      </c>
      <c r="BC185" s="127">
        <f t="shared" si="55"/>
        <v>40817</v>
      </c>
      <c r="BD185" s="127">
        <f>IF(BC185&gt;BA185,AX165,BC185)</f>
        <v>40817</v>
      </c>
      <c r="BE185" s="127">
        <f t="shared" si="92"/>
        <v>40210</v>
      </c>
      <c r="BF185" s="127">
        <f t="shared" si="93"/>
        <v>40238</v>
      </c>
      <c r="BG185" s="127">
        <f t="shared" si="94"/>
        <v>40269</v>
      </c>
      <c r="BH185" s="127">
        <f t="shared" si="95"/>
        <v>40299</v>
      </c>
      <c r="BI185" s="127"/>
      <c r="BJ185" s="111">
        <v>40881</v>
      </c>
      <c r="BK185" s="127">
        <v>39762</v>
      </c>
      <c r="BL185" s="127"/>
      <c r="BM185" s="127"/>
      <c r="BN185" s="127"/>
      <c r="BO185" s="127"/>
      <c r="BP185" s="127"/>
      <c r="BQ185" s="127">
        <f t="shared" si="96"/>
        <v>40330</v>
      </c>
      <c r="BR185" s="127">
        <f t="shared" si="97"/>
        <v>40360</v>
      </c>
      <c r="BS185" s="127">
        <f t="shared" si="98"/>
        <v>40391</v>
      </c>
      <c r="BT185" s="127">
        <f t="shared" si="99"/>
        <v>40422</v>
      </c>
      <c r="BU185" s="127">
        <f t="shared" si="100"/>
        <v>40452</v>
      </c>
      <c r="BV185" s="127">
        <f t="shared" si="101"/>
        <v>40483</v>
      </c>
      <c r="BW185" s="127">
        <f t="shared" si="102"/>
        <v>40513</v>
      </c>
      <c r="BX185" s="127">
        <f t="shared" si="103"/>
        <v>40544</v>
      </c>
      <c r="BY185" s="127">
        <f t="shared" si="104"/>
        <v>40575</v>
      </c>
      <c r="BZ185" s="127">
        <f t="shared" si="105"/>
        <v>40603</v>
      </c>
      <c r="CA185" s="127">
        <f t="shared" si="106"/>
        <v>40628.01</v>
      </c>
      <c r="CB185" s="127">
        <f t="shared" si="107"/>
        <v>40634</v>
      </c>
      <c r="CC185" s="127">
        <f t="shared" si="108"/>
        <v>40664</v>
      </c>
      <c r="CD185" s="127">
        <f t="shared" si="109"/>
        <v>40695</v>
      </c>
      <c r="CE185" s="127">
        <f t="shared" si="110"/>
        <v>40725</v>
      </c>
      <c r="CF185" s="127">
        <f t="shared" si="111"/>
        <v>40756</v>
      </c>
      <c r="CG185" s="127">
        <f t="shared" si="112"/>
        <v>40787</v>
      </c>
      <c r="CH185" s="127">
        <f t="shared" si="113"/>
        <v>40817</v>
      </c>
      <c r="CI185" s="127">
        <f t="shared" si="114"/>
        <v>0</v>
      </c>
      <c r="CJ185" s="127">
        <f t="shared" si="115"/>
        <v>0</v>
      </c>
      <c r="CK185" s="127">
        <f t="shared" si="116"/>
        <v>0</v>
      </c>
      <c r="CL185" s="127">
        <f t="shared" si="117"/>
        <v>0</v>
      </c>
      <c r="CM185" s="127">
        <f t="shared" si="118"/>
        <v>0</v>
      </c>
      <c r="CN185" s="127">
        <f t="shared" si="119"/>
        <v>0</v>
      </c>
      <c r="CO185" s="127">
        <f t="shared" si="120"/>
        <v>0</v>
      </c>
      <c r="CP185" s="127">
        <f t="shared" si="121"/>
        <v>0</v>
      </c>
      <c r="CQ185" s="127">
        <f t="shared" si="122"/>
        <v>0</v>
      </c>
      <c r="CR185" s="127">
        <f t="shared" si="58"/>
        <v>40817</v>
      </c>
      <c r="CS185" s="127">
        <f t="shared" si="59"/>
        <v>40817</v>
      </c>
      <c r="CT185" s="127">
        <f t="shared" si="60"/>
        <v>40817</v>
      </c>
      <c r="CU185" s="127">
        <f t="shared" si="61"/>
        <v>40817</v>
      </c>
      <c r="CV185" s="127">
        <f t="shared" si="62"/>
        <v>40817</v>
      </c>
      <c r="CW185" s="127">
        <f t="shared" si="63"/>
        <v>40817</v>
      </c>
      <c r="CX185" s="127">
        <f t="shared" si="64"/>
        <v>40817</v>
      </c>
      <c r="CY185" s="127">
        <f t="shared" si="65"/>
        <v>40817</v>
      </c>
      <c r="CZ185" s="127">
        <f t="shared" si="66"/>
        <v>40817</v>
      </c>
      <c r="DA185" s="127">
        <f t="shared" si="67"/>
        <v>40817</v>
      </c>
      <c r="DB185" s="127">
        <f t="shared" si="68"/>
        <v>40817</v>
      </c>
      <c r="DC185" s="127">
        <f t="shared" si="69"/>
        <v>40817</v>
      </c>
      <c r="DD185" s="127">
        <f t="shared" si="70"/>
        <v>40817</v>
      </c>
      <c r="DE185" s="127">
        <f t="shared" si="71"/>
        <v>40817</v>
      </c>
      <c r="DF185" s="127">
        <f t="shared" si="72"/>
        <v>40817</v>
      </c>
      <c r="DG185" s="127">
        <f t="shared" si="73"/>
        <v>40817</v>
      </c>
      <c r="DH185" s="127">
        <f t="shared" si="74"/>
        <v>40817</v>
      </c>
      <c r="DI185" s="127">
        <f t="shared" si="75"/>
        <v>40817</v>
      </c>
      <c r="DJ185" s="127">
        <f t="shared" si="76"/>
        <v>40817</v>
      </c>
      <c r="DK185" s="127">
        <f t="shared" si="77"/>
        <v>40817</v>
      </c>
      <c r="DL185" s="127">
        <f t="shared" si="78"/>
        <v>40817</v>
      </c>
      <c r="DM185" s="127" t="str">
        <f t="shared" si="79"/>
        <v> </v>
      </c>
      <c r="DN185" s="127" t="str">
        <f t="shared" si="80"/>
        <v> </v>
      </c>
      <c r="DO185" s="127" t="str">
        <f t="shared" si="81"/>
        <v> </v>
      </c>
      <c r="DP185" s="127" t="str">
        <f t="shared" si="82"/>
        <v> </v>
      </c>
      <c r="DQ185" s="127" t="str">
        <f t="shared" si="83"/>
        <v> </v>
      </c>
      <c r="DR185" s="127" t="str">
        <f t="shared" si="84"/>
        <v> </v>
      </c>
      <c r="DS185" s="127" t="str">
        <f t="shared" si="85"/>
        <v> </v>
      </c>
      <c r="DT185" s="127" t="str">
        <f t="shared" si="86"/>
        <v> </v>
      </c>
      <c r="DU185" s="127" t="str">
        <f t="shared" si="87"/>
        <v> </v>
      </c>
      <c r="DV185" s="127" t="str">
        <f t="shared" si="88"/>
        <v> </v>
      </c>
      <c r="DW185" s="127"/>
    </row>
    <row r="186" spans="3:127" ht="12.75" hidden="1">
      <c r="C186" s="111"/>
      <c r="F186" s="164"/>
      <c r="G186" s="164"/>
      <c r="H186" s="164"/>
      <c r="I186" s="164"/>
      <c r="J186" s="164"/>
      <c r="K186" s="164"/>
      <c r="L186" s="124"/>
      <c r="O186" s="101"/>
      <c r="P186" s="101"/>
      <c r="R186" s="101"/>
      <c r="S186" s="101"/>
      <c r="T186" s="111"/>
      <c r="AB186" s="117"/>
      <c r="AN186">
        <v>30</v>
      </c>
      <c r="AP186">
        <v>2001</v>
      </c>
      <c r="AX186" s="111">
        <f t="shared" si="54"/>
        <v>40210</v>
      </c>
      <c r="AY186" s="111">
        <f t="shared" si="89"/>
        <v>40210</v>
      </c>
      <c r="AZ186" s="111">
        <f t="shared" si="90"/>
        <v>40210</v>
      </c>
      <c r="BA186" s="127">
        <f t="shared" si="91"/>
        <v>40817.01</v>
      </c>
      <c r="BB186" s="127">
        <v>40848</v>
      </c>
      <c r="BC186" s="127">
        <f t="shared" si="55"/>
        <v>40848</v>
      </c>
      <c r="BD186" s="127">
        <f>IF(BC186&gt;BA186,AX165,BC186)</f>
        <v>40210</v>
      </c>
      <c r="BE186" s="127">
        <f t="shared" si="92"/>
        <v>40210</v>
      </c>
      <c r="BF186" s="127">
        <f t="shared" si="93"/>
        <v>40238</v>
      </c>
      <c r="BG186" s="127">
        <f t="shared" si="94"/>
        <v>40269</v>
      </c>
      <c r="BH186" s="127">
        <f t="shared" si="95"/>
        <v>40299</v>
      </c>
      <c r="BI186" s="127"/>
      <c r="BJ186" s="111">
        <v>40882</v>
      </c>
      <c r="BK186" s="127">
        <v>39763</v>
      </c>
      <c r="BL186" s="127"/>
      <c r="BM186" s="127"/>
      <c r="BN186" s="127"/>
      <c r="BO186" s="127"/>
      <c r="BP186" s="127"/>
      <c r="BQ186" s="127">
        <f t="shared" si="96"/>
        <v>40330</v>
      </c>
      <c r="BR186" s="127">
        <f t="shared" si="97"/>
        <v>40360</v>
      </c>
      <c r="BS186" s="127">
        <f t="shared" si="98"/>
        <v>40391</v>
      </c>
      <c r="BT186" s="127">
        <f t="shared" si="99"/>
        <v>40422</v>
      </c>
      <c r="BU186" s="127">
        <f t="shared" si="100"/>
        <v>40452</v>
      </c>
      <c r="BV186" s="127">
        <f t="shared" si="101"/>
        <v>40483</v>
      </c>
      <c r="BW186" s="127">
        <f t="shared" si="102"/>
        <v>40513</v>
      </c>
      <c r="BX186" s="127">
        <f t="shared" si="103"/>
        <v>40544</v>
      </c>
      <c r="BY186" s="127">
        <f t="shared" si="104"/>
        <v>40575</v>
      </c>
      <c r="BZ186" s="127">
        <f t="shared" si="105"/>
        <v>40603</v>
      </c>
      <c r="CA186" s="127">
        <f t="shared" si="106"/>
        <v>40628.01</v>
      </c>
      <c r="CB186" s="127">
        <f t="shared" si="107"/>
        <v>40634</v>
      </c>
      <c r="CC186" s="127">
        <f t="shared" si="108"/>
        <v>40664</v>
      </c>
      <c r="CD186" s="127">
        <f t="shared" si="109"/>
        <v>40695</v>
      </c>
      <c r="CE186" s="127">
        <f t="shared" si="110"/>
        <v>40725</v>
      </c>
      <c r="CF186" s="127">
        <f t="shared" si="111"/>
        <v>40756</v>
      </c>
      <c r="CG186" s="127">
        <f t="shared" si="112"/>
        <v>40787</v>
      </c>
      <c r="CH186" s="127">
        <f t="shared" si="113"/>
        <v>40817</v>
      </c>
      <c r="CI186" s="127">
        <f t="shared" si="114"/>
        <v>0</v>
      </c>
      <c r="CJ186" s="127">
        <f t="shared" si="115"/>
        <v>0</v>
      </c>
      <c r="CK186" s="127">
        <f t="shared" si="116"/>
        <v>0</v>
      </c>
      <c r="CL186" s="127">
        <f t="shared" si="117"/>
        <v>0</v>
      </c>
      <c r="CM186" s="127">
        <f t="shared" si="118"/>
        <v>0</v>
      </c>
      <c r="CN186" s="127">
        <f t="shared" si="119"/>
        <v>0</v>
      </c>
      <c r="CO186" s="127">
        <f t="shared" si="120"/>
        <v>0</v>
      </c>
      <c r="CP186" s="127">
        <f t="shared" si="121"/>
        <v>0</v>
      </c>
      <c r="CQ186" s="127">
        <f t="shared" si="122"/>
        <v>0</v>
      </c>
      <c r="CR186" s="127" t="str">
        <f t="shared" si="58"/>
        <v> </v>
      </c>
      <c r="CS186" s="127" t="str">
        <f t="shared" si="59"/>
        <v> </v>
      </c>
      <c r="CT186" s="127" t="str">
        <f t="shared" si="60"/>
        <v> </v>
      </c>
      <c r="CU186" s="127" t="str">
        <f t="shared" si="61"/>
        <v> </v>
      </c>
      <c r="CV186" s="127" t="str">
        <f t="shared" si="62"/>
        <v> </v>
      </c>
      <c r="CW186" s="127" t="str">
        <f t="shared" si="63"/>
        <v> </v>
      </c>
      <c r="CX186" s="127" t="str">
        <f t="shared" si="64"/>
        <v> </v>
      </c>
      <c r="CY186" s="127" t="str">
        <f t="shared" si="65"/>
        <v> </v>
      </c>
      <c r="CZ186" s="127" t="str">
        <f t="shared" si="66"/>
        <v> </v>
      </c>
      <c r="DA186" s="127" t="str">
        <f t="shared" si="67"/>
        <v> </v>
      </c>
      <c r="DB186" s="127" t="str">
        <f t="shared" si="68"/>
        <v> </v>
      </c>
      <c r="DC186" s="127" t="str">
        <f t="shared" si="69"/>
        <v> </v>
      </c>
      <c r="DD186" s="127" t="str">
        <f t="shared" si="70"/>
        <v> </v>
      </c>
      <c r="DE186" s="127" t="str">
        <f t="shared" si="71"/>
        <v> </v>
      </c>
      <c r="DF186" s="127" t="str">
        <f t="shared" si="72"/>
        <v> </v>
      </c>
      <c r="DG186" s="127" t="str">
        <f t="shared" si="73"/>
        <v> </v>
      </c>
      <c r="DH186" s="127" t="str">
        <f t="shared" si="74"/>
        <v> </v>
      </c>
      <c r="DI186" s="127" t="str">
        <f t="shared" si="75"/>
        <v> </v>
      </c>
      <c r="DJ186" s="127" t="str">
        <f t="shared" si="76"/>
        <v> </v>
      </c>
      <c r="DK186" s="127" t="str">
        <f t="shared" si="77"/>
        <v> </v>
      </c>
      <c r="DL186" s="127" t="str">
        <f t="shared" si="78"/>
        <v> </v>
      </c>
      <c r="DM186" s="127" t="str">
        <f t="shared" si="79"/>
        <v> </v>
      </c>
      <c r="DN186" s="127" t="str">
        <f t="shared" si="80"/>
        <v> </v>
      </c>
      <c r="DO186" s="127" t="str">
        <f t="shared" si="81"/>
        <v> </v>
      </c>
      <c r="DP186" s="127" t="str">
        <f t="shared" si="82"/>
        <v> </v>
      </c>
      <c r="DQ186" s="127" t="str">
        <f t="shared" si="83"/>
        <v> </v>
      </c>
      <c r="DR186" s="127" t="str">
        <f t="shared" si="84"/>
        <v> </v>
      </c>
      <c r="DS186" s="127" t="str">
        <f t="shared" si="85"/>
        <v> </v>
      </c>
      <c r="DT186" s="127" t="str">
        <f t="shared" si="86"/>
        <v> </v>
      </c>
      <c r="DU186" s="127" t="str">
        <f t="shared" si="87"/>
        <v> </v>
      </c>
      <c r="DV186" s="127" t="str">
        <f t="shared" si="88"/>
        <v> </v>
      </c>
      <c r="DW186" s="127"/>
    </row>
    <row r="187" spans="3:127" ht="12.75" hidden="1">
      <c r="C187" s="111"/>
      <c r="F187" s="164"/>
      <c r="G187" s="164"/>
      <c r="H187" s="164"/>
      <c r="I187" s="164"/>
      <c r="J187" s="164"/>
      <c r="K187" s="164"/>
      <c r="L187" s="124"/>
      <c r="O187" s="101"/>
      <c r="P187" s="101"/>
      <c r="R187" s="101"/>
      <c r="S187" s="101"/>
      <c r="T187" s="111"/>
      <c r="AN187">
        <v>31</v>
      </c>
      <c r="AP187">
        <v>2002</v>
      </c>
      <c r="AX187" s="111">
        <f t="shared" si="54"/>
        <v>40210</v>
      </c>
      <c r="AY187" s="111">
        <f t="shared" si="89"/>
        <v>40210</v>
      </c>
      <c r="AZ187" s="111">
        <f t="shared" si="90"/>
        <v>40210</v>
      </c>
      <c r="BA187" s="127">
        <f t="shared" si="91"/>
        <v>40817.01</v>
      </c>
      <c r="BB187" s="127">
        <v>40878</v>
      </c>
      <c r="BC187" s="127">
        <f t="shared" si="55"/>
        <v>40878</v>
      </c>
      <c r="BD187" s="127">
        <f>IF(BC187&gt;BA187,AX165,BC187)</f>
        <v>40210</v>
      </c>
      <c r="BE187" s="127">
        <f t="shared" si="92"/>
        <v>40210</v>
      </c>
      <c r="BF187" s="127">
        <f t="shared" si="93"/>
        <v>40238</v>
      </c>
      <c r="BG187" s="127">
        <f t="shared" si="94"/>
        <v>40269</v>
      </c>
      <c r="BH187" s="127">
        <f t="shared" si="95"/>
        <v>40299</v>
      </c>
      <c r="BI187" s="127"/>
      <c r="BJ187" s="111">
        <v>40883</v>
      </c>
      <c r="BK187" s="127">
        <v>39764</v>
      </c>
      <c r="BL187" s="127"/>
      <c r="BM187" s="127"/>
      <c r="BN187" s="127"/>
      <c r="BO187" s="127"/>
      <c r="BP187" s="127"/>
      <c r="BQ187" s="127">
        <f t="shared" si="96"/>
        <v>40330</v>
      </c>
      <c r="BR187" s="127">
        <f t="shared" si="97"/>
        <v>40360</v>
      </c>
      <c r="BS187" s="127">
        <f t="shared" si="98"/>
        <v>40391</v>
      </c>
      <c r="BT187" s="127">
        <f t="shared" si="99"/>
        <v>40422</v>
      </c>
      <c r="BU187" s="127">
        <f t="shared" si="100"/>
        <v>40452</v>
      </c>
      <c r="BV187" s="127">
        <f t="shared" si="101"/>
        <v>40483</v>
      </c>
      <c r="BW187" s="127">
        <f t="shared" si="102"/>
        <v>40513</v>
      </c>
      <c r="BX187" s="127">
        <f t="shared" si="103"/>
        <v>40544</v>
      </c>
      <c r="BY187" s="127">
        <f t="shared" si="104"/>
        <v>40575</v>
      </c>
      <c r="BZ187" s="127">
        <f t="shared" si="105"/>
        <v>40603</v>
      </c>
      <c r="CA187" s="127">
        <f t="shared" si="106"/>
        <v>40628.01</v>
      </c>
      <c r="CB187" s="127">
        <f t="shared" si="107"/>
        <v>40634</v>
      </c>
      <c r="CC187" s="127">
        <f t="shared" si="108"/>
        <v>40664</v>
      </c>
      <c r="CD187" s="127">
        <f t="shared" si="109"/>
        <v>40695</v>
      </c>
      <c r="CE187" s="127">
        <f t="shared" si="110"/>
        <v>40725</v>
      </c>
      <c r="CF187" s="127">
        <f t="shared" si="111"/>
        <v>40756</v>
      </c>
      <c r="CG187" s="127">
        <f t="shared" si="112"/>
        <v>40787</v>
      </c>
      <c r="CH187" s="127">
        <f t="shared" si="113"/>
        <v>40817</v>
      </c>
      <c r="CI187" s="127">
        <f t="shared" si="114"/>
        <v>0</v>
      </c>
      <c r="CJ187" s="127">
        <f t="shared" si="115"/>
        <v>0</v>
      </c>
      <c r="CK187" s="127">
        <f t="shared" si="116"/>
        <v>0</v>
      </c>
      <c r="CL187" s="127">
        <f t="shared" si="117"/>
        <v>0</v>
      </c>
      <c r="CM187" s="127">
        <f t="shared" si="118"/>
        <v>0</v>
      </c>
      <c r="CN187" s="127">
        <f t="shared" si="119"/>
        <v>0</v>
      </c>
      <c r="CO187" s="127">
        <f t="shared" si="120"/>
        <v>0</v>
      </c>
      <c r="CP187" s="127">
        <f t="shared" si="121"/>
        <v>0</v>
      </c>
      <c r="CQ187" s="127">
        <f t="shared" si="122"/>
        <v>0</v>
      </c>
      <c r="CR187" s="127" t="str">
        <f t="shared" si="58"/>
        <v> </v>
      </c>
      <c r="CS187" s="127" t="str">
        <f t="shared" si="59"/>
        <v> </v>
      </c>
      <c r="CT187" s="127" t="str">
        <f t="shared" si="60"/>
        <v> </v>
      </c>
      <c r="CU187" s="127" t="str">
        <f t="shared" si="61"/>
        <v> </v>
      </c>
      <c r="CV187" s="127" t="str">
        <f t="shared" si="62"/>
        <v> </v>
      </c>
      <c r="CW187" s="127" t="str">
        <f t="shared" si="63"/>
        <v> </v>
      </c>
      <c r="CX187" s="127" t="str">
        <f t="shared" si="64"/>
        <v> </v>
      </c>
      <c r="CY187" s="127" t="str">
        <f t="shared" si="65"/>
        <v> </v>
      </c>
      <c r="CZ187" s="127" t="str">
        <f t="shared" si="66"/>
        <v> </v>
      </c>
      <c r="DA187" s="127" t="str">
        <f t="shared" si="67"/>
        <v> </v>
      </c>
      <c r="DB187" s="127" t="str">
        <f t="shared" si="68"/>
        <v> </v>
      </c>
      <c r="DC187" s="127" t="str">
        <f t="shared" si="69"/>
        <v> </v>
      </c>
      <c r="DD187" s="127" t="str">
        <f t="shared" si="70"/>
        <v> </v>
      </c>
      <c r="DE187" s="127" t="str">
        <f t="shared" si="71"/>
        <v> </v>
      </c>
      <c r="DF187" s="127" t="str">
        <f t="shared" si="72"/>
        <v> </v>
      </c>
      <c r="DG187" s="127" t="str">
        <f t="shared" si="73"/>
        <v> </v>
      </c>
      <c r="DH187" s="127" t="str">
        <f t="shared" si="74"/>
        <v> </v>
      </c>
      <c r="DI187" s="127" t="str">
        <f t="shared" si="75"/>
        <v> </v>
      </c>
      <c r="DJ187" s="127" t="str">
        <f t="shared" si="76"/>
        <v> </v>
      </c>
      <c r="DK187" s="127" t="str">
        <f t="shared" si="77"/>
        <v> </v>
      </c>
      <c r="DL187" s="127" t="str">
        <f t="shared" si="78"/>
        <v> </v>
      </c>
      <c r="DM187" s="127" t="str">
        <f t="shared" si="79"/>
        <v> </v>
      </c>
      <c r="DN187" s="127" t="str">
        <f t="shared" si="80"/>
        <v> </v>
      </c>
      <c r="DO187" s="127" t="str">
        <f t="shared" si="81"/>
        <v> </v>
      </c>
      <c r="DP187" s="127" t="str">
        <f t="shared" si="82"/>
        <v> </v>
      </c>
      <c r="DQ187" s="127" t="str">
        <f t="shared" si="83"/>
        <v> </v>
      </c>
      <c r="DR187" s="127" t="str">
        <f t="shared" si="84"/>
        <v> </v>
      </c>
      <c r="DS187" s="127" t="str">
        <f t="shared" si="85"/>
        <v> </v>
      </c>
      <c r="DT187" s="127" t="str">
        <f t="shared" si="86"/>
        <v> </v>
      </c>
      <c r="DU187" s="127" t="str">
        <f t="shared" si="87"/>
        <v> </v>
      </c>
      <c r="DV187" s="127" t="str">
        <f t="shared" si="88"/>
        <v> </v>
      </c>
      <c r="DW187" s="127"/>
    </row>
    <row r="188" spans="3:127" ht="12.75" hidden="1">
      <c r="C188" s="111"/>
      <c r="F188" s="164"/>
      <c r="G188" s="164"/>
      <c r="H188" s="164"/>
      <c r="I188" s="164"/>
      <c r="J188" s="164"/>
      <c r="K188" s="164"/>
      <c r="L188" s="124"/>
      <c r="O188" s="101"/>
      <c r="P188" s="101"/>
      <c r="R188" s="101"/>
      <c r="S188" s="101"/>
      <c r="T188" s="111"/>
      <c r="AP188">
        <v>2003</v>
      </c>
      <c r="AX188" s="111">
        <f t="shared" si="54"/>
        <v>40210</v>
      </c>
      <c r="AY188" s="111">
        <f t="shared" si="89"/>
        <v>40210</v>
      </c>
      <c r="AZ188" s="111">
        <f t="shared" si="90"/>
        <v>40210</v>
      </c>
      <c r="BA188" s="127">
        <f t="shared" si="91"/>
        <v>40817.01</v>
      </c>
      <c r="BB188" s="127">
        <v>40909</v>
      </c>
      <c r="BC188" s="127">
        <f t="shared" si="55"/>
        <v>40909</v>
      </c>
      <c r="BD188" s="127">
        <f>IF(BC188&gt;BA188,AX165,BC188)</f>
        <v>40210</v>
      </c>
      <c r="BE188" s="127">
        <f t="shared" si="92"/>
        <v>40210</v>
      </c>
      <c r="BF188" s="127">
        <f t="shared" si="93"/>
        <v>40238</v>
      </c>
      <c r="BG188" s="127">
        <f t="shared" si="94"/>
        <v>40269</v>
      </c>
      <c r="BH188" s="127">
        <f t="shared" si="95"/>
        <v>40299</v>
      </c>
      <c r="BI188" s="127"/>
      <c r="BJ188" s="111">
        <v>40884</v>
      </c>
      <c r="BK188" s="127">
        <v>39765</v>
      </c>
      <c r="BL188" s="127"/>
      <c r="BM188" s="127"/>
      <c r="BN188" s="127"/>
      <c r="BO188" s="127"/>
      <c r="BP188" s="127"/>
      <c r="BQ188" s="127">
        <f t="shared" si="96"/>
        <v>40330</v>
      </c>
      <c r="BR188" s="127">
        <f t="shared" si="97"/>
        <v>40360</v>
      </c>
      <c r="BS188" s="127">
        <f t="shared" si="98"/>
        <v>40391</v>
      </c>
      <c r="BT188" s="127">
        <f t="shared" si="99"/>
        <v>40422</v>
      </c>
      <c r="BU188" s="127">
        <f t="shared" si="100"/>
        <v>40452</v>
      </c>
      <c r="BV188" s="127">
        <f t="shared" si="101"/>
        <v>40483</v>
      </c>
      <c r="BW188" s="127">
        <f t="shared" si="102"/>
        <v>40513</v>
      </c>
      <c r="BX188" s="127">
        <f t="shared" si="103"/>
        <v>40544</v>
      </c>
      <c r="BY188" s="127">
        <f t="shared" si="104"/>
        <v>40575</v>
      </c>
      <c r="BZ188" s="127">
        <f t="shared" si="105"/>
        <v>40603</v>
      </c>
      <c r="CA188" s="127">
        <f t="shared" si="106"/>
        <v>40628.01</v>
      </c>
      <c r="CB188" s="127">
        <f t="shared" si="107"/>
        <v>40634</v>
      </c>
      <c r="CC188" s="127">
        <f t="shared" si="108"/>
        <v>40664</v>
      </c>
      <c r="CD188" s="127">
        <f t="shared" si="109"/>
        <v>40695</v>
      </c>
      <c r="CE188" s="127">
        <f t="shared" si="110"/>
        <v>40725</v>
      </c>
      <c r="CF188" s="127">
        <f t="shared" si="111"/>
        <v>40756</v>
      </c>
      <c r="CG188" s="127">
        <f t="shared" si="112"/>
        <v>40787</v>
      </c>
      <c r="CH188" s="127">
        <f t="shared" si="113"/>
        <v>40817</v>
      </c>
      <c r="CI188" s="127">
        <f t="shared" si="114"/>
        <v>0</v>
      </c>
      <c r="CJ188" s="127">
        <f t="shared" si="115"/>
        <v>0</v>
      </c>
      <c r="CK188" s="127">
        <f t="shared" si="116"/>
        <v>0</v>
      </c>
      <c r="CL188" s="127">
        <f t="shared" si="117"/>
        <v>0</v>
      </c>
      <c r="CM188" s="127">
        <f t="shared" si="118"/>
        <v>0</v>
      </c>
      <c r="CN188" s="127">
        <f t="shared" si="119"/>
        <v>0</v>
      </c>
      <c r="CO188" s="127">
        <f t="shared" si="120"/>
        <v>0</v>
      </c>
      <c r="CP188" s="127">
        <f t="shared" si="121"/>
        <v>0</v>
      </c>
      <c r="CQ188" s="127">
        <f t="shared" si="122"/>
        <v>0</v>
      </c>
      <c r="CR188" s="127" t="str">
        <f t="shared" si="58"/>
        <v> </v>
      </c>
      <c r="CS188" s="127" t="str">
        <f t="shared" si="59"/>
        <v> </v>
      </c>
      <c r="CT188" s="127" t="str">
        <f t="shared" si="60"/>
        <v> </v>
      </c>
      <c r="CU188" s="127" t="str">
        <f t="shared" si="61"/>
        <v> </v>
      </c>
      <c r="CV188" s="127" t="str">
        <f t="shared" si="62"/>
        <v> </v>
      </c>
      <c r="CW188" s="127" t="str">
        <f t="shared" si="63"/>
        <v> </v>
      </c>
      <c r="CX188" s="127" t="str">
        <f t="shared" si="64"/>
        <v> </v>
      </c>
      <c r="CY188" s="127" t="str">
        <f t="shared" si="65"/>
        <v> </v>
      </c>
      <c r="CZ188" s="127" t="str">
        <f t="shared" si="66"/>
        <v> </v>
      </c>
      <c r="DA188" s="127" t="str">
        <f t="shared" si="67"/>
        <v> </v>
      </c>
      <c r="DB188" s="127" t="str">
        <f t="shared" si="68"/>
        <v> </v>
      </c>
      <c r="DC188" s="127" t="str">
        <f t="shared" si="69"/>
        <v> </v>
      </c>
      <c r="DD188" s="127" t="str">
        <f t="shared" si="70"/>
        <v> </v>
      </c>
      <c r="DE188" s="127" t="str">
        <f t="shared" si="71"/>
        <v> </v>
      </c>
      <c r="DF188" s="127" t="str">
        <f t="shared" si="72"/>
        <v> </v>
      </c>
      <c r="DG188" s="127" t="str">
        <f t="shared" si="73"/>
        <v> </v>
      </c>
      <c r="DH188" s="127" t="str">
        <f t="shared" si="74"/>
        <v> </v>
      </c>
      <c r="DI188" s="127" t="str">
        <f t="shared" si="75"/>
        <v> </v>
      </c>
      <c r="DJ188" s="127" t="str">
        <f t="shared" si="76"/>
        <v> </v>
      </c>
      <c r="DK188" s="127" t="str">
        <f t="shared" si="77"/>
        <v> </v>
      </c>
      <c r="DL188" s="127" t="str">
        <f t="shared" si="78"/>
        <v> </v>
      </c>
      <c r="DM188" s="127" t="str">
        <f t="shared" si="79"/>
        <v> </v>
      </c>
      <c r="DN188" s="127" t="str">
        <f t="shared" si="80"/>
        <v> </v>
      </c>
      <c r="DO188" s="127" t="str">
        <f t="shared" si="81"/>
        <v> </v>
      </c>
      <c r="DP188" s="127" t="str">
        <f t="shared" si="82"/>
        <v> </v>
      </c>
      <c r="DQ188" s="127" t="str">
        <f t="shared" si="83"/>
        <v> </v>
      </c>
      <c r="DR188" s="127" t="str">
        <f t="shared" si="84"/>
        <v> </v>
      </c>
      <c r="DS188" s="127" t="str">
        <f t="shared" si="85"/>
        <v> </v>
      </c>
      <c r="DT188" s="127" t="str">
        <f t="shared" si="86"/>
        <v> </v>
      </c>
      <c r="DU188" s="127" t="str">
        <f t="shared" si="87"/>
        <v> </v>
      </c>
      <c r="DV188" s="127" t="str">
        <f t="shared" si="88"/>
        <v> </v>
      </c>
      <c r="DW188" s="127"/>
    </row>
    <row r="189" spans="3:127" ht="12.75" hidden="1">
      <c r="C189" s="111"/>
      <c r="F189" s="164"/>
      <c r="G189" s="164"/>
      <c r="H189" s="164"/>
      <c r="I189" s="164"/>
      <c r="J189" s="164"/>
      <c r="K189" s="164"/>
      <c r="L189" s="124"/>
      <c r="O189" s="101"/>
      <c r="P189" s="101"/>
      <c r="R189" s="101"/>
      <c r="S189" s="101"/>
      <c r="T189" s="111"/>
      <c r="AP189">
        <v>2004</v>
      </c>
      <c r="AX189" s="111">
        <f t="shared" si="54"/>
        <v>40210</v>
      </c>
      <c r="AY189" s="111">
        <f t="shared" si="89"/>
        <v>40210</v>
      </c>
      <c r="AZ189" s="111">
        <f t="shared" si="90"/>
        <v>40210</v>
      </c>
      <c r="BA189" s="127">
        <f t="shared" si="91"/>
        <v>40817.01</v>
      </c>
      <c r="BB189" s="127">
        <v>40940</v>
      </c>
      <c r="BC189" s="127">
        <f t="shared" si="55"/>
        <v>40940</v>
      </c>
      <c r="BD189" s="127">
        <f>IF(BC189&gt;BA189,AX165,BC189)</f>
        <v>40210</v>
      </c>
      <c r="BE189" s="127">
        <f t="shared" si="92"/>
        <v>40210</v>
      </c>
      <c r="BF189" s="127">
        <f t="shared" si="93"/>
        <v>40238</v>
      </c>
      <c r="BG189" s="127">
        <f t="shared" si="94"/>
        <v>40269</v>
      </c>
      <c r="BH189" s="127">
        <f t="shared" si="95"/>
        <v>40299</v>
      </c>
      <c r="BI189" s="127"/>
      <c r="BJ189" s="111">
        <v>40885</v>
      </c>
      <c r="BK189" s="127">
        <v>39766</v>
      </c>
      <c r="BL189" s="127"/>
      <c r="BM189" s="127"/>
      <c r="BN189" s="127"/>
      <c r="BO189" s="127"/>
      <c r="BP189" s="127"/>
      <c r="BQ189" s="127">
        <f t="shared" si="96"/>
        <v>40330</v>
      </c>
      <c r="BR189" s="127">
        <f t="shared" si="97"/>
        <v>40360</v>
      </c>
      <c r="BS189" s="127">
        <f t="shared" si="98"/>
        <v>40391</v>
      </c>
      <c r="BT189" s="127">
        <f t="shared" si="99"/>
        <v>40422</v>
      </c>
      <c r="BU189" s="127">
        <f t="shared" si="100"/>
        <v>40452</v>
      </c>
      <c r="BV189" s="127">
        <f t="shared" si="101"/>
        <v>40483</v>
      </c>
      <c r="BW189" s="127">
        <f t="shared" si="102"/>
        <v>40513</v>
      </c>
      <c r="BX189" s="127">
        <f t="shared" si="103"/>
        <v>40544</v>
      </c>
      <c r="BY189" s="127">
        <f t="shared" si="104"/>
        <v>40575</v>
      </c>
      <c r="BZ189" s="127">
        <f t="shared" si="105"/>
        <v>40603</v>
      </c>
      <c r="CA189" s="127">
        <f t="shared" si="106"/>
        <v>40628.01</v>
      </c>
      <c r="CB189" s="127">
        <f t="shared" si="107"/>
        <v>40634</v>
      </c>
      <c r="CC189" s="127">
        <f t="shared" si="108"/>
        <v>40664</v>
      </c>
      <c r="CD189" s="127">
        <f t="shared" si="109"/>
        <v>40695</v>
      </c>
      <c r="CE189" s="127">
        <f t="shared" si="110"/>
        <v>40725</v>
      </c>
      <c r="CF189" s="127">
        <f t="shared" si="111"/>
        <v>40756</v>
      </c>
      <c r="CG189" s="127">
        <f t="shared" si="112"/>
        <v>40787</v>
      </c>
      <c r="CH189" s="127">
        <f t="shared" si="113"/>
        <v>40817</v>
      </c>
      <c r="CI189" s="127">
        <f t="shared" si="114"/>
        <v>0</v>
      </c>
      <c r="CJ189" s="127">
        <f t="shared" si="115"/>
        <v>0</v>
      </c>
      <c r="CK189" s="127">
        <f t="shared" si="116"/>
        <v>0</v>
      </c>
      <c r="CL189" s="127">
        <f t="shared" si="117"/>
        <v>0</v>
      </c>
      <c r="CM189" s="127">
        <f t="shared" si="118"/>
        <v>0</v>
      </c>
      <c r="CN189" s="127">
        <f t="shared" si="119"/>
        <v>0</v>
      </c>
      <c r="CO189" s="127">
        <f t="shared" si="120"/>
        <v>0</v>
      </c>
      <c r="CP189" s="127">
        <f t="shared" si="121"/>
        <v>0</v>
      </c>
      <c r="CQ189" s="127">
        <f t="shared" si="122"/>
        <v>0</v>
      </c>
      <c r="CR189" s="127" t="str">
        <f t="shared" si="58"/>
        <v> </v>
      </c>
      <c r="CS189" s="127" t="str">
        <f t="shared" si="59"/>
        <v> </v>
      </c>
      <c r="CT189" s="127" t="str">
        <f t="shared" si="60"/>
        <v> </v>
      </c>
      <c r="CU189" s="127" t="str">
        <f t="shared" si="61"/>
        <v> </v>
      </c>
      <c r="CV189" s="127" t="str">
        <f t="shared" si="62"/>
        <v> </v>
      </c>
      <c r="CW189" s="127" t="str">
        <f t="shared" si="63"/>
        <v> </v>
      </c>
      <c r="CX189" s="127" t="str">
        <f t="shared" si="64"/>
        <v> </v>
      </c>
      <c r="CY189" s="127" t="str">
        <f t="shared" si="65"/>
        <v> </v>
      </c>
      <c r="CZ189" s="127" t="str">
        <f t="shared" si="66"/>
        <v> </v>
      </c>
      <c r="DA189" s="127" t="str">
        <f t="shared" si="67"/>
        <v> </v>
      </c>
      <c r="DB189" s="127" t="str">
        <f t="shared" si="68"/>
        <v> </v>
      </c>
      <c r="DC189" s="127" t="str">
        <f t="shared" si="69"/>
        <v> </v>
      </c>
      <c r="DD189" s="127" t="str">
        <f t="shared" si="70"/>
        <v> </v>
      </c>
      <c r="DE189" s="127" t="str">
        <f t="shared" si="71"/>
        <v> </v>
      </c>
      <c r="DF189" s="127" t="str">
        <f t="shared" si="72"/>
        <v> </v>
      </c>
      <c r="DG189" s="127" t="str">
        <f t="shared" si="73"/>
        <v> </v>
      </c>
      <c r="DH189" s="127" t="str">
        <f t="shared" si="74"/>
        <v> </v>
      </c>
      <c r="DI189" s="127" t="str">
        <f t="shared" si="75"/>
        <v> </v>
      </c>
      <c r="DJ189" s="127" t="str">
        <f t="shared" si="76"/>
        <v> </v>
      </c>
      <c r="DK189" s="127" t="str">
        <f t="shared" si="77"/>
        <v> </v>
      </c>
      <c r="DL189" s="127" t="str">
        <f t="shared" si="78"/>
        <v> </v>
      </c>
      <c r="DM189" s="127" t="str">
        <f t="shared" si="79"/>
        <v> </v>
      </c>
      <c r="DN189" s="127" t="str">
        <f t="shared" si="80"/>
        <v> </v>
      </c>
      <c r="DO189" s="127" t="str">
        <f t="shared" si="81"/>
        <v> </v>
      </c>
      <c r="DP189" s="127" t="str">
        <f t="shared" si="82"/>
        <v> </v>
      </c>
      <c r="DQ189" s="127" t="str">
        <f t="shared" si="83"/>
        <v> </v>
      </c>
      <c r="DR189" s="127" t="str">
        <f t="shared" si="84"/>
        <v> </v>
      </c>
      <c r="DS189" s="127" t="str">
        <f t="shared" si="85"/>
        <v> </v>
      </c>
      <c r="DT189" s="127" t="str">
        <f t="shared" si="86"/>
        <v> </v>
      </c>
      <c r="DU189" s="127" t="str">
        <f t="shared" si="87"/>
        <v> </v>
      </c>
      <c r="DV189" s="127" t="str">
        <f t="shared" si="88"/>
        <v> </v>
      </c>
      <c r="DW189" s="127"/>
    </row>
    <row r="190" spans="3:127" ht="12.75" hidden="1">
      <c r="C190" s="111"/>
      <c r="F190" s="164"/>
      <c r="G190" s="164"/>
      <c r="H190" s="164"/>
      <c r="I190" s="164"/>
      <c r="J190" s="164"/>
      <c r="K190" s="164"/>
      <c r="L190" s="124"/>
      <c r="O190" s="101"/>
      <c r="P190" s="101"/>
      <c r="R190" s="101"/>
      <c r="S190" s="101"/>
      <c r="T190" s="111"/>
      <c r="AP190">
        <v>2005</v>
      </c>
      <c r="AX190" s="111">
        <f t="shared" si="54"/>
        <v>40210</v>
      </c>
      <c r="AY190" s="111">
        <f t="shared" si="89"/>
        <v>40210</v>
      </c>
      <c r="AZ190" s="111">
        <f t="shared" si="90"/>
        <v>40210</v>
      </c>
      <c r="BA190" s="127">
        <f t="shared" si="91"/>
        <v>40817.01</v>
      </c>
      <c r="BB190" s="127">
        <v>40969</v>
      </c>
      <c r="BC190" s="127">
        <f t="shared" si="55"/>
        <v>40969</v>
      </c>
      <c r="BD190" s="127">
        <f>IF(BC190&gt;BA190,AX165,BC190)</f>
        <v>40210</v>
      </c>
      <c r="BE190" s="127">
        <f t="shared" si="92"/>
        <v>40210</v>
      </c>
      <c r="BF190" s="127">
        <f t="shared" si="93"/>
        <v>40238</v>
      </c>
      <c r="BG190" s="127">
        <f t="shared" si="94"/>
        <v>40269</v>
      </c>
      <c r="BH190" s="127">
        <f t="shared" si="95"/>
        <v>40299</v>
      </c>
      <c r="BI190" s="127"/>
      <c r="BJ190" s="111">
        <v>40886</v>
      </c>
      <c r="BK190" s="127">
        <v>39767</v>
      </c>
      <c r="BL190" s="127"/>
      <c r="BM190" s="127"/>
      <c r="BN190" s="127"/>
      <c r="BO190" s="127"/>
      <c r="BP190" s="127"/>
      <c r="BQ190" s="127">
        <f t="shared" si="96"/>
        <v>40330</v>
      </c>
      <c r="BR190" s="127">
        <f t="shared" si="97"/>
        <v>40360</v>
      </c>
      <c r="BS190" s="127">
        <f t="shared" si="98"/>
        <v>40391</v>
      </c>
      <c r="BT190" s="127">
        <f t="shared" si="99"/>
        <v>40422</v>
      </c>
      <c r="BU190" s="127">
        <f t="shared" si="100"/>
        <v>40452</v>
      </c>
      <c r="BV190" s="127">
        <f t="shared" si="101"/>
        <v>40483</v>
      </c>
      <c r="BW190" s="127">
        <f t="shared" si="102"/>
        <v>40513</v>
      </c>
      <c r="BX190" s="127">
        <f t="shared" si="103"/>
        <v>40544</v>
      </c>
      <c r="BY190" s="127">
        <f t="shared" si="104"/>
        <v>40575</v>
      </c>
      <c r="BZ190" s="127">
        <f t="shared" si="105"/>
        <v>40603</v>
      </c>
      <c r="CA190" s="127">
        <f t="shared" si="106"/>
        <v>40628.01</v>
      </c>
      <c r="CB190" s="127">
        <f t="shared" si="107"/>
        <v>40634</v>
      </c>
      <c r="CC190" s="127">
        <f t="shared" si="108"/>
        <v>40664</v>
      </c>
      <c r="CD190" s="127">
        <f t="shared" si="109"/>
        <v>40695</v>
      </c>
      <c r="CE190" s="127">
        <f t="shared" si="110"/>
        <v>40725</v>
      </c>
      <c r="CF190" s="127">
        <f t="shared" si="111"/>
        <v>40756</v>
      </c>
      <c r="CG190" s="127">
        <f t="shared" si="112"/>
        <v>40787</v>
      </c>
      <c r="CH190" s="127">
        <f t="shared" si="113"/>
        <v>40817</v>
      </c>
      <c r="CI190" s="127">
        <f t="shared" si="114"/>
        <v>0</v>
      </c>
      <c r="CJ190" s="127">
        <f t="shared" si="115"/>
        <v>0</v>
      </c>
      <c r="CK190" s="127">
        <f t="shared" si="116"/>
        <v>0</v>
      </c>
      <c r="CL190" s="127">
        <f t="shared" si="117"/>
        <v>0</v>
      </c>
      <c r="CM190" s="127">
        <f t="shared" si="118"/>
        <v>0</v>
      </c>
      <c r="CN190" s="127">
        <f t="shared" si="119"/>
        <v>0</v>
      </c>
      <c r="CO190" s="127">
        <f t="shared" si="120"/>
        <v>0</v>
      </c>
      <c r="CP190" s="127">
        <f t="shared" si="121"/>
        <v>0</v>
      </c>
      <c r="CQ190" s="127">
        <f t="shared" si="122"/>
        <v>0</v>
      </c>
      <c r="CR190" s="127" t="str">
        <f t="shared" si="58"/>
        <v> </v>
      </c>
      <c r="CS190" s="127" t="str">
        <f t="shared" si="59"/>
        <v> </v>
      </c>
      <c r="CT190" s="127" t="str">
        <f t="shared" si="60"/>
        <v> </v>
      </c>
      <c r="CU190" s="127" t="str">
        <f t="shared" si="61"/>
        <v> </v>
      </c>
      <c r="CV190" s="127" t="str">
        <f t="shared" si="62"/>
        <v> </v>
      </c>
      <c r="CW190" s="127" t="str">
        <f t="shared" si="63"/>
        <v> </v>
      </c>
      <c r="CX190" s="127" t="str">
        <f t="shared" si="64"/>
        <v> </v>
      </c>
      <c r="CY190" s="127" t="str">
        <f t="shared" si="65"/>
        <v> </v>
      </c>
      <c r="CZ190" s="127" t="str">
        <f t="shared" si="66"/>
        <v> </v>
      </c>
      <c r="DA190" s="127" t="str">
        <f t="shared" si="67"/>
        <v> </v>
      </c>
      <c r="DB190" s="127" t="str">
        <f t="shared" si="68"/>
        <v> </v>
      </c>
      <c r="DC190" s="127" t="str">
        <f t="shared" si="69"/>
        <v> </v>
      </c>
      <c r="DD190" s="127" t="str">
        <f t="shared" si="70"/>
        <v> </v>
      </c>
      <c r="DE190" s="127" t="str">
        <f t="shared" si="71"/>
        <v> </v>
      </c>
      <c r="DF190" s="127" t="str">
        <f t="shared" si="72"/>
        <v> </v>
      </c>
      <c r="DG190" s="127" t="str">
        <f t="shared" si="73"/>
        <v> </v>
      </c>
      <c r="DH190" s="127" t="str">
        <f t="shared" si="74"/>
        <v> </v>
      </c>
      <c r="DI190" s="127" t="str">
        <f t="shared" si="75"/>
        <v> </v>
      </c>
      <c r="DJ190" s="127" t="str">
        <f t="shared" si="76"/>
        <v> </v>
      </c>
      <c r="DK190" s="127" t="str">
        <f t="shared" si="77"/>
        <v> </v>
      </c>
      <c r="DL190" s="127" t="str">
        <f t="shared" si="78"/>
        <v> </v>
      </c>
      <c r="DM190" s="127" t="str">
        <f t="shared" si="79"/>
        <v> </v>
      </c>
      <c r="DN190" s="127" t="str">
        <f t="shared" si="80"/>
        <v> </v>
      </c>
      <c r="DO190" s="127" t="str">
        <f t="shared" si="81"/>
        <v> </v>
      </c>
      <c r="DP190" s="127" t="str">
        <f t="shared" si="82"/>
        <v> </v>
      </c>
      <c r="DQ190" s="127" t="str">
        <f t="shared" si="83"/>
        <v> </v>
      </c>
      <c r="DR190" s="127" t="str">
        <f t="shared" si="84"/>
        <v> </v>
      </c>
      <c r="DS190" s="127" t="str">
        <f t="shared" si="85"/>
        <v> </v>
      </c>
      <c r="DT190" s="127" t="str">
        <f t="shared" si="86"/>
        <v> </v>
      </c>
      <c r="DU190" s="127" t="str">
        <f t="shared" si="87"/>
        <v> </v>
      </c>
      <c r="DV190" s="127" t="str">
        <f t="shared" si="88"/>
        <v> </v>
      </c>
      <c r="DW190" s="127"/>
    </row>
    <row r="191" spans="3:127" ht="12.75" hidden="1">
      <c r="C191" s="111"/>
      <c r="F191" s="164"/>
      <c r="G191" s="164"/>
      <c r="H191" s="164"/>
      <c r="I191" s="164"/>
      <c r="J191" s="164"/>
      <c r="K191" s="164"/>
      <c r="L191" s="124"/>
      <c r="O191" s="101"/>
      <c r="P191" s="101"/>
      <c r="R191" s="101"/>
      <c r="S191" s="101"/>
      <c r="T191" s="111"/>
      <c r="AP191">
        <v>2006</v>
      </c>
      <c r="AX191" s="111">
        <f t="shared" si="54"/>
        <v>40210</v>
      </c>
      <c r="AY191" s="111">
        <f t="shared" si="89"/>
        <v>40210</v>
      </c>
      <c r="AZ191" s="111">
        <f t="shared" si="90"/>
        <v>40210</v>
      </c>
      <c r="BA191" s="127">
        <f t="shared" si="91"/>
        <v>40817.01</v>
      </c>
      <c r="BB191" s="127">
        <v>41000</v>
      </c>
      <c r="BC191" s="127">
        <f t="shared" si="55"/>
        <v>41000</v>
      </c>
      <c r="BD191" s="127">
        <f>IF(BC191&gt;BA191,AX165,BC191)</f>
        <v>40210</v>
      </c>
      <c r="BE191" s="127">
        <f t="shared" si="92"/>
        <v>40210</v>
      </c>
      <c r="BF191" s="127">
        <f t="shared" si="93"/>
        <v>40238</v>
      </c>
      <c r="BG191" s="127">
        <f t="shared" si="94"/>
        <v>40269</v>
      </c>
      <c r="BH191" s="127">
        <f t="shared" si="95"/>
        <v>40299</v>
      </c>
      <c r="BI191" s="127"/>
      <c r="BJ191" s="111">
        <v>40887</v>
      </c>
      <c r="BK191" s="127">
        <v>39768</v>
      </c>
      <c r="BL191" s="127"/>
      <c r="BM191" s="127"/>
      <c r="BN191" s="127"/>
      <c r="BO191" s="127"/>
      <c r="BP191" s="127"/>
      <c r="BQ191" s="127">
        <f t="shared" si="96"/>
        <v>40330</v>
      </c>
      <c r="BR191" s="127">
        <f t="shared" si="97"/>
        <v>40360</v>
      </c>
      <c r="BS191" s="127">
        <f t="shared" si="98"/>
        <v>40391</v>
      </c>
      <c r="BT191" s="127">
        <f t="shared" si="99"/>
        <v>40422</v>
      </c>
      <c r="BU191" s="127">
        <f t="shared" si="100"/>
        <v>40452</v>
      </c>
      <c r="BV191" s="127">
        <f t="shared" si="101"/>
        <v>40483</v>
      </c>
      <c r="BW191" s="127">
        <f t="shared" si="102"/>
        <v>40513</v>
      </c>
      <c r="BX191" s="127">
        <f t="shared" si="103"/>
        <v>40544</v>
      </c>
      <c r="BY191" s="127">
        <f t="shared" si="104"/>
        <v>40575</v>
      </c>
      <c r="BZ191" s="127">
        <f t="shared" si="105"/>
        <v>40603</v>
      </c>
      <c r="CA191" s="127">
        <f t="shared" si="106"/>
        <v>40628.01</v>
      </c>
      <c r="CB191" s="127">
        <f t="shared" si="107"/>
        <v>40634</v>
      </c>
      <c r="CC191" s="127">
        <f t="shared" si="108"/>
        <v>40664</v>
      </c>
      <c r="CD191" s="127">
        <f t="shared" si="109"/>
        <v>40695</v>
      </c>
      <c r="CE191" s="127">
        <f t="shared" si="110"/>
        <v>40725</v>
      </c>
      <c r="CF191" s="127">
        <f t="shared" si="111"/>
        <v>40756</v>
      </c>
      <c r="CG191" s="127">
        <f t="shared" si="112"/>
        <v>40787</v>
      </c>
      <c r="CH191" s="127">
        <f t="shared" si="113"/>
        <v>40817</v>
      </c>
      <c r="CI191" s="127">
        <f t="shared" si="114"/>
        <v>0</v>
      </c>
      <c r="CJ191" s="127">
        <f t="shared" si="115"/>
        <v>0</v>
      </c>
      <c r="CK191" s="127">
        <f t="shared" si="116"/>
        <v>0</v>
      </c>
      <c r="CL191" s="127">
        <f t="shared" si="117"/>
        <v>0</v>
      </c>
      <c r="CM191" s="127">
        <f t="shared" si="118"/>
        <v>0</v>
      </c>
      <c r="CN191" s="127">
        <f t="shared" si="119"/>
        <v>0</v>
      </c>
      <c r="CO191" s="127">
        <f t="shared" si="120"/>
        <v>0</v>
      </c>
      <c r="CP191" s="127">
        <f t="shared" si="121"/>
        <v>0</v>
      </c>
      <c r="CQ191" s="127">
        <f t="shared" si="122"/>
        <v>0</v>
      </c>
      <c r="CR191" s="127" t="str">
        <f t="shared" si="58"/>
        <v> </v>
      </c>
      <c r="CS191" s="127" t="str">
        <f t="shared" si="59"/>
        <v> </v>
      </c>
      <c r="CT191" s="127" t="str">
        <f t="shared" si="60"/>
        <v> </v>
      </c>
      <c r="CU191" s="127" t="str">
        <f t="shared" si="61"/>
        <v> </v>
      </c>
      <c r="CV191" s="127" t="str">
        <f t="shared" si="62"/>
        <v> </v>
      </c>
      <c r="CW191" s="127" t="str">
        <f t="shared" si="63"/>
        <v> </v>
      </c>
      <c r="CX191" s="127" t="str">
        <f t="shared" si="64"/>
        <v> </v>
      </c>
      <c r="CY191" s="127" t="str">
        <f t="shared" si="65"/>
        <v> </v>
      </c>
      <c r="CZ191" s="127" t="str">
        <f t="shared" si="66"/>
        <v> </v>
      </c>
      <c r="DA191" s="127" t="str">
        <f t="shared" si="67"/>
        <v> </v>
      </c>
      <c r="DB191" s="127" t="str">
        <f t="shared" si="68"/>
        <v> </v>
      </c>
      <c r="DC191" s="127" t="str">
        <f t="shared" si="69"/>
        <v> </v>
      </c>
      <c r="DD191" s="127" t="str">
        <f t="shared" si="70"/>
        <v> </v>
      </c>
      <c r="DE191" s="127" t="str">
        <f t="shared" si="71"/>
        <v> </v>
      </c>
      <c r="DF191" s="127" t="str">
        <f t="shared" si="72"/>
        <v> </v>
      </c>
      <c r="DG191" s="127" t="str">
        <f t="shared" si="73"/>
        <v> </v>
      </c>
      <c r="DH191" s="127" t="str">
        <f t="shared" si="74"/>
        <v> </v>
      </c>
      <c r="DI191" s="127" t="str">
        <f t="shared" si="75"/>
        <v> </v>
      </c>
      <c r="DJ191" s="127" t="str">
        <f t="shared" si="76"/>
        <v> </v>
      </c>
      <c r="DK191" s="127" t="str">
        <f t="shared" si="77"/>
        <v> </v>
      </c>
      <c r="DL191" s="127" t="str">
        <f t="shared" si="78"/>
        <v> </v>
      </c>
      <c r="DM191" s="127" t="str">
        <f t="shared" si="79"/>
        <v> </v>
      </c>
      <c r="DN191" s="127" t="str">
        <f t="shared" si="80"/>
        <v> </v>
      </c>
      <c r="DO191" s="127" t="str">
        <f t="shared" si="81"/>
        <v> </v>
      </c>
      <c r="DP191" s="127" t="str">
        <f t="shared" si="82"/>
        <v> </v>
      </c>
      <c r="DQ191" s="127" t="str">
        <f t="shared" si="83"/>
        <v> </v>
      </c>
      <c r="DR191" s="127" t="str">
        <f t="shared" si="84"/>
        <v> </v>
      </c>
      <c r="DS191" s="127" t="str">
        <f t="shared" si="85"/>
        <v> </v>
      </c>
      <c r="DT191" s="127" t="str">
        <f t="shared" si="86"/>
        <v> </v>
      </c>
      <c r="DU191" s="127" t="str">
        <f t="shared" si="87"/>
        <v> </v>
      </c>
      <c r="DV191" s="127" t="str">
        <f t="shared" si="88"/>
        <v> </v>
      </c>
      <c r="DW191" s="127"/>
    </row>
    <row r="192" spans="3:127" ht="12.75" hidden="1">
      <c r="C192" s="111"/>
      <c r="F192" s="164"/>
      <c r="G192" s="164"/>
      <c r="H192" s="164"/>
      <c r="I192" s="164"/>
      <c r="J192" s="164"/>
      <c r="K192" s="164"/>
      <c r="L192" s="124"/>
      <c r="O192" s="101"/>
      <c r="P192" s="101"/>
      <c r="R192" s="101"/>
      <c r="S192" s="101"/>
      <c r="T192" s="111"/>
      <c r="AP192">
        <v>2007</v>
      </c>
      <c r="AX192" s="111">
        <f t="shared" si="54"/>
        <v>40210</v>
      </c>
      <c r="AY192" s="111">
        <f t="shared" si="89"/>
        <v>40210</v>
      </c>
      <c r="AZ192" s="111">
        <f t="shared" si="90"/>
        <v>40210</v>
      </c>
      <c r="BA192" s="127">
        <f t="shared" si="91"/>
        <v>40817.01</v>
      </c>
      <c r="BB192" s="127">
        <f>IF(E37=E38,E66,E137)</f>
        <v>40628.01</v>
      </c>
      <c r="BC192" s="127">
        <f t="shared" si="55"/>
        <v>40628.01</v>
      </c>
      <c r="BD192" s="127">
        <f>IF(BC192&gt;BA192,AX165,BC192)</f>
        <v>40628.01</v>
      </c>
      <c r="BE192" s="127">
        <f t="shared" si="92"/>
        <v>40210</v>
      </c>
      <c r="BF192" s="127">
        <f t="shared" si="93"/>
        <v>40238</v>
      </c>
      <c r="BG192" s="127">
        <f t="shared" si="94"/>
        <v>40269</v>
      </c>
      <c r="BH192" s="127">
        <f t="shared" si="95"/>
        <v>40299</v>
      </c>
      <c r="BI192" s="127"/>
      <c r="BJ192" s="111">
        <v>40888</v>
      </c>
      <c r="BK192" s="127">
        <v>39769</v>
      </c>
      <c r="BL192" s="127"/>
      <c r="BM192" s="127"/>
      <c r="BN192" s="127"/>
      <c r="BO192" s="127"/>
      <c r="BP192" s="127"/>
      <c r="BQ192" s="127">
        <f t="shared" si="96"/>
        <v>40330</v>
      </c>
      <c r="BR192" s="127">
        <f t="shared" si="97"/>
        <v>40360</v>
      </c>
      <c r="BS192" s="127">
        <f t="shared" si="98"/>
        <v>40391</v>
      </c>
      <c r="BT192" s="127">
        <f t="shared" si="99"/>
        <v>40422</v>
      </c>
      <c r="BU192" s="127">
        <f t="shared" si="100"/>
        <v>40452</v>
      </c>
      <c r="BV192" s="127">
        <f t="shared" si="101"/>
        <v>40483</v>
      </c>
      <c r="BW192" s="127">
        <f t="shared" si="102"/>
        <v>40513</v>
      </c>
      <c r="BX192" s="127">
        <f t="shared" si="103"/>
        <v>40544</v>
      </c>
      <c r="BY192" s="127">
        <f t="shared" si="104"/>
        <v>40575</v>
      </c>
      <c r="BZ192" s="127">
        <f t="shared" si="105"/>
        <v>40603</v>
      </c>
      <c r="CA192" s="127">
        <f t="shared" si="106"/>
        <v>40628.01</v>
      </c>
      <c r="CB192" s="127">
        <f t="shared" si="107"/>
        <v>40634</v>
      </c>
      <c r="CC192" s="127">
        <f t="shared" si="108"/>
        <v>40664</v>
      </c>
      <c r="CD192" s="127">
        <f t="shared" si="109"/>
        <v>40695</v>
      </c>
      <c r="CE192" s="127">
        <f t="shared" si="110"/>
        <v>40725</v>
      </c>
      <c r="CF192" s="127">
        <f t="shared" si="111"/>
        <v>40756</v>
      </c>
      <c r="CG192" s="127">
        <f t="shared" si="112"/>
        <v>40787</v>
      </c>
      <c r="CH192" s="127">
        <f t="shared" si="113"/>
        <v>40817</v>
      </c>
      <c r="CI192" s="127">
        <f t="shared" si="114"/>
        <v>0</v>
      </c>
      <c r="CJ192" s="127">
        <f t="shared" si="115"/>
        <v>0</v>
      </c>
      <c r="CK192" s="127">
        <f t="shared" si="116"/>
        <v>0</v>
      </c>
      <c r="CL192" s="127">
        <f t="shared" si="117"/>
        <v>0</v>
      </c>
      <c r="CM192" s="127">
        <f t="shared" si="118"/>
        <v>0</v>
      </c>
      <c r="CN192" s="127">
        <f t="shared" si="119"/>
        <v>0</v>
      </c>
      <c r="CO192" s="127">
        <f t="shared" si="120"/>
        <v>0</v>
      </c>
      <c r="CP192" s="127">
        <f t="shared" si="121"/>
        <v>0</v>
      </c>
      <c r="CQ192" s="127">
        <f t="shared" si="122"/>
        <v>0</v>
      </c>
      <c r="CR192" s="127">
        <f t="shared" si="58"/>
        <v>40628.01</v>
      </c>
      <c r="CS192" s="127">
        <f t="shared" si="59"/>
        <v>40628.01</v>
      </c>
      <c r="CT192" s="127">
        <f t="shared" si="60"/>
        <v>40628.01</v>
      </c>
      <c r="CU192" s="127">
        <f t="shared" si="61"/>
        <v>40628.01</v>
      </c>
      <c r="CV192" s="127">
        <f t="shared" si="62"/>
        <v>40628.01</v>
      </c>
      <c r="CW192" s="127">
        <f t="shared" si="63"/>
        <v>40628.01</v>
      </c>
      <c r="CX192" s="127">
        <f t="shared" si="64"/>
        <v>40628.01</v>
      </c>
      <c r="CY192" s="127">
        <f t="shared" si="65"/>
        <v>40628.01</v>
      </c>
      <c r="CZ192" s="127">
        <f t="shared" si="66"/>
        <v>40628.01</v>
      </c>
      <c r="DA192" s="127">
        <f t="shared" si="67"/>
        <v>40628.01</v>
      </c>
      <c r="DB192" s="127">
        <f t="shared" si="68"/>
        <v>40628.01</v>
      </c>
      <c r="DC192" s="127">
        <f t="shared" si="69"/>
        <v>40628.01</v>
      </c>
      <c r="DD192" s="127">
        <f t="shared" si="70"/>
        <v>40628.01</v>
      </c>
      <c r="DE192" s="127">
        <f t="shared" si="71"/>
        <v>40628.01</v>
      </c>
      <c r="DF192" s="127" t="str">
        <f t="shared" si="72"/>
        <v> </v>
      </c>
      <c r="DG192" s="127" t="str">
        <f t="shared" si="73"/>
        <v> </v>
      </c>
      <c r="DH192" s="127" t="str">
        <f t="shared" si="74"/>
        <v> </v>
      </c>
      <c r="DI192" s="127" t="str">
        <f t="shared" si="75"/>
        <v> </v>
      </c>
      <c r="DJ192" s="127" t="str">
        <f t="shared" si="76"/>
        <v> </v>
      </c>
      <c r="DK192" s="127" t="str">
        <f t="shared" si="77"/>
        <v> </v>
      </c>
      <c r="DL192" s="127" t="str">
        <f t="shared" si="78"/>
        <v> </v>
      </c>
      <c r="DM192" s="127" t="str">
        <f t="shared" si="79"/>
        <v> </v>
      </c>
      <c r="DN192" s="127" t="str">
        <f t="shared" si="80"/>
        <v> </v>
      </c>
      <c r="DO192" s="127" t="str">
        <f t="shared" si="81"/>
        <v> </v>
      </c>
      <c r="DP192" s="127" t="str">
        <f t="shared" si="82"/>
        <v> </v>
      </c>
      <c r="DQ192" s="127" t="str">
        <f t="shared" si="83"/>
        <v> </v>
      </c>
      <c r="DR192" s="127" t="str">
        <f t="shared" si="84"/>
        <v> </v>
      </c>
      <c r="DS192" s="127" t="str">
        <f t="shared" si="85"/>
        <v> </v>
      </c>
      <c r="DT192" s="127" t="str">
        <f t="shared" si="86"/>
        <v> </v>
      </c>
      <c r="DU192" s="127" t="str">
        <f t="shared" si="87"/>
        <v> </v>
      </c>
      <c r="DV192" s="127" t="str">
        <f t="shared" si="88"/>
        <v> </v>
      </c>
      <c r="DW192" s="127"/>
    </row>
    <row r="193" spans="3:127" ht="12.75" hidden="1">
      <c r="C193" s="111"/>
      <c r="F193" s="164"/>
      <c r="G193" s="164"/>
      <c r="H193" s="164"/>
      <c r="I193" s="164"/>
      <c r="J193" s="164"/>
      <c r="K193" s="164"/>
      <c r="L193" s="124"/>
      <c r="O193" s="101"/>
      <c r="P193" s="101"/>
      <c r="R193" s="101"/>
      <c r="S193" s="101"/>
      <c r="T193" s="111"/>
      <c r="AP193">
        <v>2008</v>
      </c>
      <c r="AX193" s="111">
        <f t="shared" si="54"/>
        <v>40210</v>
      </c>
      <c r="AY193" s="111">
        <f t="shared" si="89"/>
        <v>40210</v>
      </c>
      <c r="AZ193" s="111">
        <f t="shared" si="90"/>
        <v>40210</v>
      </c>
      <c r="BA193" s="127">
        <f t="shared" si="91"/>
        <v>40817.01</v>
      </c>
      <c r="BB193" s="127">
        <f>E69</f>
        <v>40210</v>
      </c>
      <c r="BC193" s="127">
        <f t="shared" si="55"/>
        <v>40210</v>
      </c>
      <c r="BD193" s="127">
        <f>IF(BC193&gt;BA193,AX165,BC193)</f>
        <v>40210</v>
      </c>
      <c r="BE193" s="127">
        <f t="shared" si="92"/>
        <v>40210</v>
      </c>
      <c r="BF193" s="127">
        <f t="shared" si="93"/>
        <v>40238</v>
      </c>
      <c r="BG193" s="127">
        <f t="shared" si="94"/>
        <v>40269</v>
      </c>
      <c r="BH193" s="127">
        <f t="shared" si="95"/>
        <v>40299</v>
      </c>
      <c r="BI193" s="127"/>
      <c r="BJ193" s="111">
        <v>40889</v>
      </c>
      <c r="BK193" s="127">
        <v>39770</v>
      </c>
      <c r="BL193" s="127"/>
      <c r="BM193" s="127"/>
      <c r="BN193" s="127"/>
      <c r="BO193" s="127"/>
      <c r="BP193" s="127"/>
      <c r="BQ193" s="127">
        <f t="shared" si="96"/>
        <v>40330</v>
      </c>
      <c r="BR193" s="127">
        <f t="shared" si="97"/>
        <v>40360</v>
      </c>
      <c r="BS193" s="127">
        <f t="shared" si="98"/>
        <v>40391</v>
      </c>
      <c r="BT193" s="127">
        <f t="shared" si="99"/>
        <v>40422</v>
      </c>
      <c r="BU193" s="127">
        <f t="shared" si="100"/>
        <v>40452</v>
      </c>
      <c r="BV193" s="127">
        <f t="shared" si="101"/>
        <v>40483</v>
      </c>
      <c r="BW193" s="127">
        <f t="shared" si="102"/>
        <v>40513</v>
      </c>
      <c r="BX193" s="127">
        <f t="shared" si="103"/>
        <v>40544</v>
      </c>
      <c r="BY193" s="127">
        <f t="shared" si="104"/>
        <v>40575</v>
      </c>
      <c r="BZ193" s="127">
        <f t="shared" si="105"/>
        <v>40603</v>
      </c>
      <c r="CA193" s="127">
        <f t="shared" si="106"/>
        <v>40628.01</v>
      </c>
      <c r="CB193" s="127">
        <f t="shared" si="107"/>
        <v>40634</v>
      </c>
      <c r="CC193" s="127">
        <f t="shared" si="108"/>
        <v>40664</v>
      </c>
      <c r="CD193" s="127">
        <f t="shared" si="109"/>
        <v>40695</v>
      </c>
      <c r="CE193" s="127">
        <f t="shared" si="110"/>
        <v>40725</v>
      </c>
      <c r="CF193" s="127">
        <f t="shared" si="111"/>
        <v>40756</v>
      </c>
      <c r="CG193" s="127">
        <f t="shared" si="112"/>
        <v>40787</v>
      </c>
      <c r="CH193" s="127">
        <f t="shared" si="113"/>
        <v>40817</v>
      </c>
      <c r="CI193" s="127">
        <f t="shared" si="114"/>
        <v>0</v>
      </c>
      <c r="CJ193" s="127">
        <f t="shared" si="115"/>
        <v>0</v>
      </c>
      <c r="CK193" s="127">
        <f t="shared" si="116"/>
        <v>0</v>
      </c>
      <c r="CL193" s="127">
        <f t="shared" si="117"/>
        <v>0</v>
      </c>
      <c r="CM193" s="127">
        <f t="shared" si="118"/>
        <v>0</v>
      </c>
      <c r="CN193" s="127">
        <f t="shared" si="119"/>
        <v>0</v>
      </c>
      <c r="CO193" s="127">
        <f t="shared" si="120"/>
        <v>0</v>
      </c>
      <c r="CP193" s="127">
        <f t="shared" si="121"/>
        <v>0</v>
      </c>
      <c r="CQ193" s="127">
        <f t="shared" si="122"/>
        <v>0</v>
      </c>
      <c r="CR193" s="127" t="str">
        <f t="shared" si="58"/>
        <v> </v>
      </c>
      <c r="CS193" s="127" t="str">
        <f t="shared" si="59"/>
        <v> </v>
      </c>
      <c r="CT193" s="127" t="str">
        <f t="shared" si="60"/>
        <v> </v>
      </c>
      <c r="CU193" s="127" t="str">
        <f t="shared" si="61"/>
        <v> </v>
      </c>
      <c r="CV193" s="127" t="str">
        <f t="shared" si="62"/>
        <v> </v>
      </c>
      <c r="CW193" s="127" t="str">
        <f t="shared" si="63"/>
        <v> </v>
      </c>
      <c r="CX193" s="127" t="str">
        <f t="shared" si="64"/>
        <v> </v>
      </c>
      <c r="CY193" s="127" t="str">
        <f t="shared" si="65"/>
        <v> </v>
      </c>
      <c r="CZ193" s="127" t="str">
        <f t="shared" si="66"/>
        <v> </v>
      </c>
      <c r="DA193" s="127" t="str">
        <f t="shared" si="67"/>
        <v> </v>
      </c>
      <c r="DB193" s="127" t="str">
        <f t="shared" si="68"/>
        <v> </v>
      </c>
      <c r="DC193" s="127" t="str">
        <f t="shared" si="69"/>
        <v> </v>
      </c>
      <c r="DD193" s="127" t="str">
        <f t="shared" si="70"/>
        <v> </v>
      </c>
      <c r="DE193" s="127" t="str">
        <f t="shared" si="71"/>
        <v> </v>
      </c>
      <c r="DF193" s="127" t="str">
        <f t="shared" si="72"/>
        <v> </v>
      </c>
      <c r="DG193" s="127" t="str">
        <f t="shared" si="73"/>
        <v> </v>
      </c>
      <c r="DH193" s="127" t="str">
        <f t="shared" si="74"/>
        <v> </v>
      </c>
      <c r="DI193" s="127" t="str">
        <f t="shared" si="75"/>
        <v> </v>
      </c>
      <c r="DJ193" s="127" t="str">
        <f t="shared" si="76"/>
        <v> </v>
      </c>
      <c r="DK193" s="127" t="str">
        <f t="shared" si="77"/>
        <v> </v>
      </c>
      <c r="DL193" s="127" t="str">
        <f t="shared" si="78"/>
        <v> </v>
      </c>
      <c r="DM193" s="127" t="str">
        <f t="shared" si="79"/>
        <v> </v>
      </c>
      <c r="DN193" s="127" t="str">
        <f t="shared" si="80"/>
        <v> </v>
      </c>
      <c r="DO193" s="127" t="str">
        <f t="shared" si="81"/>
        <v> </v>
      </c>
      <c r="DP193" s="127" t="str">
        <f t="shared" si="82"/>
        <v> </v>
      </c>
      <c r="DQ193" s="127" t="str">
        <f t="shared" si="83"/>
        <v> </v>
      </c>
      <c r="DR193" s="127" t="str">
        <f t="shared" si="84"/>
        <v> </v>
      </c>
      <c r="DS193" s="127" t="str">
        <f t="shared" si="85"/>
        <v> </v>
      </c>
      <c r="DT193" s="127" t="str">
        <f t="shared" si="86"/>
        <v> </v>
      </c>
      <c r="DU193" s="127" t="str">
        <f t="shared" si="87"/>
        <v> </v>
      </c>
      <c r="DV193" s="127" t="str">
        <f t="shared" si="88"/>
        <v> </v>
      </c>
      <c r="DW193" s="127"/>
    </row>
    <row r="194" spans="3:127" ht="12.75" hidden="1">
      <c r="C194" s="111"/>
      <c r="F194" s="164"/>
      <c r="G194" s="164"/>
      <c r="H194" s="164"/>
      <c r="I194" s="164"/>
      <c r="J194" s="164"/>
      <c r="K194" s="164"/>
      <c r="L194" s="124"/>
      <c r="O194" s="101"/>
      <c r="P194" s="101"/>
      <c r="R194" s="101"/>
      <c r="S194" s="101"/>
      <c r="T194" s="111"/>
      <c r="AP194">
        <v>2009</v>
      </c>
      <c r="AX194" s="111">
        <f t="shared" si="54"/>
        <v>40210</v>
      </c>
      <c r="AY194" s="111">
        <f t="shared" si="89"/>
        <v>40210</v>
      </c>
      <c r="AZ194" s="111">
        <f t="shared" si="90"/>
        <v>40210</v>
      </c>
      <c r="BA194" s="127">
        <f t="shared" si="91"/>
        <v>40817.01</v>
      </c>
      <c r="BB194" s="127">
        <f>IF(E42=O108,40210,E139)</f>
        <v>40628.01</v>
      </c>
      <c r="BC194" s="127">
        <f t="shared" si="55"/>
        <v>40628.01</v>
      </c>
      <c r="BD194" s="127">
        <f>IF(BC194&gt;BA194,AX165,BC194)</f>
        <v>40628.01</v>
      </c>
      <c r="BE194" s="127">
        <f t="shared" si="92"/>
        <v>40210</v>
      </c>
      <c r="BF194" s="127">
        <f t="shared" si="93"/>
        <v>40238</v>
      </c>
      <c r="BG194" s="127">
        <f t="shared" si="94"/>
        <v>40269</v>
      </c>
      <c r="BH194" s="127">
        <f t="shared" si="95"/>
        <v>40299</v>
      </c>
      <c r="BI194" s="127"/>
      <c r="BJ194" s="111">
        <v>40890</v>
      </c>
      <c r="BK194" s="127">
        <v>39771</v>
      </c>
      <c r="BL194" s="127"/>
      <c r="BM194" s="127"/>
      <c r="BN194" s="127"/>
      <c r="BO194" s="127"/>
      <c r="BP194" s="127"/>
      <c r="BQ194" s="127">
        <f t="shared" si="96"/>
        <v>40330</v>
      </c>
      <c r="BR194" s="127">
        <f t="shared" si="97"/>
        <v>40360</v>
      </c>
      <c r="BS194" s="127">
        <f t="shared" si="98"/>
        <v>40391</v>
      </c>
      <c r="BT194" s="127">
        <f t="shared" si="99"/>
        <v>40422</v>
      </c>
      <c r="BU194" s="127">
        <f t="shared" si="100"/>
        <v>40452</v>
      </c>
      <c r="BV194" s="127">
        <f t="shared" si="101"/>
        <v>40483</v>
      </c>
      <c r="BW194" s="127">
        <f t="shared" si="102"/>
        <v>40513</v>
      </c>
      <c r="BX194" s="127">
        <f t="shared" si="103"/>
        <v>40544</v>
      </c>
      <c r="BY194" s="127">
        <f t="shared" si="104"/>
        <v>40575</v>
      </c>
      <c r="BZ194" s="127">
        <f t="shared" si="105"/>
        <v>40603</v>
      </c>
      <c r="CA194" s="127">
        <f t="shared" si="106"/>
        <v>40628.01</v>
      </c>
      <c r="CB194" s="127">
        <f t="shared" si="107"/>
        <v>40634</v>
      </c>
      <c r="CC194" s="127">
        <f t="shared" si="108"/>
        <v>40664</v>
      </c>
      <c r="CD194" s="127">
        <f t="shared" si="109"/>
        <v>40695</v>
      </c>
      <c r="CE194" s="127">
        <f t="shared" si="110"/>
        <v>40725</v>
      </c>
      <c r="CF194" s="127">
        <f t="shared" si="111"/>
        <v>40756</v>
      </c>
      <c r="CG194" s="127">
        <f t="shared" si="112"/>
        <v>40787</v>
      </c>
      <c r="CH194" s="127">
        <f t="shared" si="113"/>
        <v>40817</v>
      </c>
      <c r="CI194" s="127">
        <f t="shared" si="114"/>
        <v>0</v>
      </c>
      <c r="CJ194" s="127">
        <f t="shared" si="115"/>
        <v>0</v>
      </c>
      <c r="CK194" s="127">
        <f t="shared" si="116"/>
        <v>0</v>
      </c>
      <c r="CL194" s="127">
        <f t="shared" si="117"/>
        <v>0</v>
      </c>
      <c r="CM194" s="127">
        <f t="shared" si="118"/>
        <v>0</v>
      </c>
      <c r="CN194" s="127">
        <f t="shared" si="119"/>
        <v>0</v>
      </c>
      <c r="CO194" s="127">
        <f t="shared" si="120"/>
        <v>0</v>
      </c>
      <c r="CP194" s="127">
        <f t="shared" si="121"/>
        <v>0</v>
      </c>
      <c r="CQ194" s="127">
        <f t="shared" si="122"/>
        <v>0</v>
      </c>
      <c r="CR194" s="127">
        <f t="shared" si="58"/>
        <v>40628.01</v>
      </c>
      <c r="CS194" s="127">
        <f t="shared" si="59"/>
        <v>40628.01</v>
      </c>
      <c r="CT194" s="127">
        <f t="shared" si="60"/>
        <v>40628.01</v>
      </c>
      <c r="CU194" s="127">
        <f t="shared" si="61"/>
        <v>40628.01</v>
      </c>
      <c r="CV194" s="127">
        <f t="shared" si="62"/>
        <v>40628.01</v>
      </c>
      <c r="CW194" s="127">
        <f t="shared" si="63"/>
        <v>40628.01</v>
      </c>
      <c r="CX194" s="127">
        <f t="shared" si="64"/>
        <v>40628.01</v>
      </c>
      <c r="CY194" s="127">
        <f t="shared" si="65"/>
        <v>40628.01</v>
      </c>
      <c r="CZ194" s="127">
        <f t="shared" si="66"/>
        <v>40628.01</v>
      </c>
      <c r="DA194" s="127">
        <f t="shared" si="67"/>
        <v>40628.01</v>
      </c>
      <c r="DB194" s="127">
        <f t="shared" si="68"/>
        <v>40628.01</v>
      </c>
      <c r="DC194" s="127">
        <f t="shared" si="69"/>
        <v>40628.01</v>
      </c>
      <c r="DD194" s="127">
        <f t="shared" si="70"/>
        <v>40628.01</v>
      </c>
      <c r="DE194" s="127">
        <f t="shared" si="71"/>
        <v>40628.01</v>
      </c>
      <c r="DF194" s="127" t="str">
        <f t="shared" si="72"/>
        <v> </v>
      </c>
      <c r="DG194" s="127" t="str">
        <f t="shared" si="73"/>
        <v> </v>
      </c>
      <c r="DH194" s="127" t="str">
        <f t="shared" si="74"/>
        <v> </v>
      </c>
      <c r="DI194" s="127" t="str">
        <f t="shared" si="75"/>
        <v> </v>
      </c>
      <c r="DJ194" s="127" t="str">
        <f t="shared" si="76"/>
        <v> </v>
      </c>
      <c r="DK194" s="127" t="str">
        <f t="shared" si="77"/>
        <v> </v>
      </c>
      <c r="DL194" s="127" t="str">
        <f t="shared" si="78"/>
        <v> </v>
      </c>
      <c r="DM194" s="127" t="str">
        <f t="shared" si="79"/>
        <v> </v>
      </c>
      <c r="DN194" s="127" t="str">
        <f t="shared" si="80"/>
        <v> </v>
      </c>
      <c r="DO194" s="127" t="str">
        <f t="shared" si="81"/>
        <v> </v>
      </c>
      <c r="DP194" s="127" t="str">
        <f t="shared" si="82"/>
        <v> </v>
      </c>
      <c r="DQ194" s="127" t="str">
        <f t="shared" si="83"/>
        <v> </v>
      </c>
      <c r="DR194" s="127" t="str">
        <f t="shared" si="84"/>
        <v> </v>
      </c>
      <c r="DS194" s="127" t="str">
        <f t="shared" si="85"/>
        <v> </v>
      </c>
      <c r="DT194" s="127" t="str">
        <f t="shared" si="86"/>
        <v> </v>
      </c>
      <c r="DU194" s="127" t="str">
        <f t="shared" si="87"/>
        <v> </v>
      </c>
      <c r="DV194" s="127" t="str">
        <f t="shared" si="88"/>
        <v> </v>
      </c>
      <c r="DW194" s="127"/>
    </row>
    <row r="195" spans="3:127" ht="12.75" hidden="1">
      <c r="C195" s="111"/>
      <c r="F195" s="164"/>
      <c r="G195" s="164"/>
      <c r="H195" s="164"/>
      <c r="I195" s="164"/>
      <c r="J195" s="164"/>
      <c r="K195" s="164"/>
      <c r="L195" s="124"/>
      <c r="O195" s="101"/>
      <c r="P195" s="101"/>
      <c r="R195" s="101"/>
      <c r="S195" s="101"/>
      <c r="T195" s="111"/>
      <c r="AP195">
        <v>2010</v>
      </c>
      <c r="AX195" s="111">
        <f t="shared" si="54"/>
        <v>40210</v>
      </c>
      <c r="AY195" s="111">
        <f t="shared" si="89"/>
        <v>40210</v>
      </c>
      <c r="AZ195" s="111">
        <f t="shared" si="90"/>
        <v>40210</v>
      </c>
      <c r="BA195" s="127">
        <f t="shared" si="91"/>
        <v>40817.01</v>
      </c>
      <c r="BB195" s="127">
        <f>F70</f>
        <v>40210</v>
      </c>
      <c r="BC195" s="127">
        <f t="shared" si="55"/>
        <v>40210</v>
      </c>
      <c r="BD195" s="127">
        <f>IF(BC195&gt;BA195,AX165,BC195)</f>
        <v>40210</v>
      </c>
      <c r="BE195" s="127">
        <f t="shared" si="92"/>
        <v>40210</v>
      </c>
      <c r="BF195" s="127">
        <f t="shared" si="93"/>
        <v>40238</v>
      </c>
      <c r="BG195" s="127">
        <f t="shared" si="94"/>
        <v>40269</v>
      </c>
      <c r="BH195" s="127">
        <f t="shared" si="95"/>
        <v>40299</v>
      </c>
      <c r="BI195" s="12"/>
      <c r="BJ195" s="111">
        <v>40891</v>
      </c>
      <c r="BK195" s="13">
        <v>39772</v>
      </c>
      <c r="BL195" s="12"/>
      <c r="BM195" s="12"/>
      <c r="BN195" s="12"/>
      <c r="BO195" s="12"/>
      <c r="BP195" s="12"/>
      <c r="BQ195" s="127">
        <f t="shared" si="96"/>
        <v>40330</v>
      </c>
      <c r="BR195" s="127">
        <f t="shared" si="97"/>
        <v>40360</v>
      </c>
      <c r="BS195" s="127">
        <f t="shared" si="98"/>
        <v>40391</v>
      </c>
      <c r="BT195" s="127">
        <f t="shared" si="99"/>
        <v>40422</v>
      </c>
      <c r="BU195" s="127">
        <f t="shared" si="100"/>
        <v>40452</v>
      </c>
      <c r="BV195" s="127">
        <f t="shared" si="101"/>
        <v>40483</v>
      </c>
      <c r="BW195" s="127">
        <f t="shared" si="102"/>
        <v>40513</v>
      </c>
      <c r="BX195" s="127">
        <f t="shared" si="103"/>
        <v>40544</v>
      </c>
      <c r="BY195" s="127">
        <f t="shared" si="104"/>
        <v>40575</v>
      </c>
      <c r="BZ195" s="127">
        <f t="shared" si="105"/>
        <v>40603</v>
      </c>
      <c r="CA195" s="127">
        <f t="shared" si="106"/>
        <v>40628.01</v>
      </c>
      <c r="CB195" s="127">
        <f t="shared" si="107"/>
        <v>40634</v>
      </c>
      <c r="CC195" s="127">
        <f t="shared" si="108"/>
        <v>40664</v>
      </c>
      <c r="CD195" s="127">
        <f t="shared" si="109"/>
        <v>40695</v>
      </c>
      <c r="CE195" s="127">
        <f t="shared" si="110"/>
        <v>40725</v>
      </c>
      <c r="CF195" s="127">
        <f t="shared" si="111"/>
        <v>40756</v>
      </c>
      <c r="CG195" s="127">
        <f t="shared" si="112"/>
        <v>40787</v>
      </c>
      <c r="CH195" s="127">
        <f t="shared" si="113"/>
        <v>40817</v>
      </c>
      <c r="CI195" s="127">
        <f t="shared" si="114"/>
        <v>0</v>
      </c>
      <c r="CJ195" s="127">
        <f t="shared" si="115"/>
        <v>0</v>
      </c>
      <c r="CK195" s="127">
        <f t="shared" si="116"/>
        <v>0</v>
      </c>
      <c r="CL195" s="127">
        <f t="shared" si="117"/>
        <v>0</v>
      </c>
      <c r="CM195" s="127">
        <f t="shared" si="118"/>
        <v>0</v>
      </c>
      <c r="CN195" s="127">
        <f t="shared" si="119"/>
        <v>0</v>
      </c>
      <c r="CO195" s="127">
        <f t="shared" si="120"/>
        <v>0</v>
      </c>
      <c r="CP195" s="127">
        <f t="shared" si="121"/>
        <v>0</v>
      </c>
      <c r="CQ195" s="127">
        <f t="shared" si="122"/>
        <v>0</v>
      </c>
      <c r="CR195" s="12" t="str">
        <f t="shared" si="58"/>
        <v> </v>
      </c>
      <c r="CS195" s="127" t="str">
        <f t="shared" si="59"/>
        <v> </v>
      </c>
      <c r="CT195" s="127" t="str">
        <f t="shared" si="60"/>
        <v> </v>
      </c>
      <c r="CU195" s="127" t="str">
        <f t="shared" si="61"/>
        <v> </v>
      </c>
      <c r="CV195" s="127" t="str">
        <f t="shared" si="62"/>
        <v> </v>
      </c>
      <c r="CW195" s="127" t="str">
        <f t="shared" si="63"/>
        <v> </v>
      </c>
      <c r="CX195" s="127" t="str">
        <f t="shared" si="64"/>
        <v> </v>
      </c>
      <c r="CY195" s="127" t="str">
        <f t="shared" si="65"/>
        <v> </v>
      </c>
      <c r="CZ195" s="127" t="str">
        <f t="shared" si="66"/>
        <v> </v>
      </c>
      <c r="DA195" s="127" t="str">
        <f t="shared" si="67"/>
        <v> </v>
      </c>
      <c r="DB195" s="127" t="str">
        <f t="shared" si="68"/>
        <v> </v>
      </c>
      <c r="DC195" s="127" t="str">
        <f t="shared" si="69"/>
        <v> </v>
      </c>
      <c r="DD195" s="127" t="str">
        <f t="shared" si="70"/>
        <v> </v>
      </c>
      <c r="DE195" s="127" t="str">
        <f t="shared" si="71"/>
        <v> </v>
      </c>
      <c r="DF195" s="127" t="str">
        <f t="shared" si="72"/>
        <v> </v>
      </c>
      <c r="DG195" s="127" t="str">
        <f t="shared" si="73"/>
        <v> </v>
      </c>
      <c r="DH195" s="127" t="str">
        <f t="shared" si="74"/>
        <v> </v>
      </c>
      <c r="DI195" s="127" t="str">
        <f t="shared" si="75"/>
        <v> </v>
      </c>
      <c r="DJ195" s="127" t="str">
        <f t="shared" si="76"/>
        <v> </v>
      </c>
      <c r="DK195" s="127" t="str">
        <f t="shared" si="77"/>
        <v> </v>
      </c>
      <c r="DL195" s="127" t="str">
        <f t="shared" si="78"/>
        <v> </v>
      </c>
      <c r="DM195" s="127" t="str">
        <f t="shared" si="79"/>
        <v> </v>
      </c>
      <c r="DN195" s="127" t="str">
        <f t="shared" si="80"/>
        <v> </v>
      </c>
      <c r="DO195" s="127" t="str">
        <f t="shared" si="81"/>
        <v> </v>
      </c>
      <c r="DP195" s="127" t="str">
        <f t="shared" si="82"/>
        <v> </v>
      </c>
      <c r="DQ195" s="127" t="str">
        <f t="shared" si="83"/>
        <v> </v>
      </c>
      <c r="DR195" s="127" t="str">
        <f t="shared" si="84"/>
        <v> </v>
      </c>
      <c r="DS195" s="127" t="str">
        <f t="shared" si="85"/>
        <v> </v>
      </c>
      <c r="DT195" s="127" t="str">
        <f t="shared" si="86"/>
        <v> </v>
      </c>
      <c r="DU195" s="127" t="str">
        <f t="shared" si="87"/>
        <v> </v>
      </c>
      <c r="DV195" s="127" t="str">
        <f t="shared" si="88"/>
        <v> </v>
      </c>
      <c r="DW195" s="12"/>
    </row>
    <row r="196" spans="3:63" ht="12.75" hidden="1">
      <c r="C196" s="111"/>
      <c r="F196" s="164"/>
      <c r="G196" s="164"/>
      <c r="H196" s="164"/>
      <c r="I196" s="164"/>
      <c r="J196" s="164"/>
      <c r="K196" s="164"/>
      <c r="L196" s="124"/>
      <c r="O196" s="101"/>
      <c r="P196" s="101"/>
      <c r="R196" s="101"/>
      <c r="S196" s="101"/>
      <c r="T196" s="111"/>
      <c r="AP196">
        <v>2011</v>
      </c>
      <c r="BJ196" s="111">
        <v>40892</v>
      </c>
      <c r="BK196" s="2">
        <v>39773</v>
      </c>
    </row>
    <row r="197" spans="3:63" ht="12.75" hidden="1">
      <c r="C197" s="111"/>
      <c r="F197" s="164"/>
      <c r="G197" s="164"/>
      <c r="H197" s="164"/>
      <c r="I197" s="164"/>
      <c r="J197" s="164"/>
      <c r="K197" s="164"/>
      <c r="L197" s="124"/>
      <c r="O197" s="101"/>
      <c r="P197" s="101"/>
      <c r="R197" s="101"/>
      <c r="S197" s="101"/>
      <c r="T197" s="111"/>
      <c r="AP197">
        <v>2012</v>
      </c>
      <c r="BJ197" s="111">
        <v>40893</v>
      </c>
      <c r="BK197" s="2">
        <v>39774</v>
      </c>
    </row>
    <row r="198" spans="3:63" ht="12.75" hidden="1">
      <c r="C198" s="111"/>
      <c r="F198" s="164"/>
      <c r="G198" s="164"/>
      <c r="H198" s="164"/>
      <c r="I198" s="164"/>
      <c r="J198" s="164"/>
      <c r="K198" s="164"/>
      <c r="L198" s="124"/>
      <c r="O198" s="101"/>
      <c r="P198" s="101"/>
      <c r="R198" s="101"/>
      <c r="S198" s="101"/>
      <c r="T198" s="111"/>
      <c r="AP198">
        <v>2013</v>
      </c>
      <c r="BJ198" s="111">
        <v>40894</v>
      </c>
      <c r="BK198" s="2">
        <v>39775</v>
      </c>
    </row>
    <row r="199" spans="3:63" ht="12.75" hidden="1">
      <c r="C199" s="111"/>
      <c r="F199" s="164"/>
      <c r="G199" s="164"/>
      <c r="H199" s="164"/>
      <c r="I199" s="164"/>
      <c r="J199" s="164"/>
      <c r="K199" s="164"/>
      <c r="L199" s="124"/>
      <c r="O199" s="101"/>
      <c r="P199" s="101"/>
      <c r="R199" s="101"/>
      <c r="S199" s="101"/>
      <c r="T199" s="111"/>
      <c r="BJ199" s="111">
        <v>40895</v>
      </c>
      <c r="BK199" s="2">
        <v>39776</v>
      </c>
    </row>
    <row r="200" spans="62:63" ht="12.75" hidden="1">
      <c r="BJ200" s="111">
        <v>40896</v>
      </c>
      <c r="BK200" s="2">
        <v>39777</v>
      </c>
    </row>
    <row r="201" spans="62:63" ht="12.75" hidden="1">
      <c r="BJ201" s="111">
        <v>40897</v>
      </c>
      <c r="BK201" s="2">
        <v>39778</v>
      </c>
    </row>
    <row r="202" spans="3:63" ht="12.75" hidden="1">
      <c r="C202" s="111"/>
      <c r="F202" s="164"/>
      <c r="G202" s="164"/>
      <c r="H202" s="164"/>
      <c r="M202" s="101"/>
      <c r="N202" s="101"/>
      <c r="BJ202" s="111">
        <v>40898</v>
      </c>
      <c r="BK202" s="2">
        <v>39779</v>
      </c>
    </row>
    <row r="203" spans="3:63" ht="12.75" hidden="1">
      <c r="C203" s="111"/>
      <c r="F203" s="164"/>
      <c r="G203" s="164"/>
      <c r="H203" s="164"/>
      <c r="M203" s="101"/>
      <c r="N203" s="101"/>
      <c r="BJ203" s="111">
        <v>40899</v>
      </c>
      <c r="BK203" s="2">
        <v>39780</v>
      </c>
    </row>
    <row r="204" spans="3:63" ht="12.75" hidden="1">
      <c r="C204" s="111"/>
      <c r="F204" s="164"/>
      <c r="G204" s="164"/>
      <c r="H204" s="164"/>
      <c r="M204" s="101"/>
      <c r="N204" s="101"/>
      <c r="O204" s="101"/>
      <c r="BJ204" s="111">
        <v>40900</v>
      </c>
      <c r="BK204" s="2">
        <v>39781</v>
      </c>
    </row>
    <row r="205" spans="3:63" ht="12.75" hidden="1">
      <c r="C205" s="111"/>
      <c r="F205" s="164"/>
      <c r="G205" s="164"/>
      <c r="H205" s="164"/>
      <c r="M205" s="101"/>
      <c r="N205" s="101"/>
      <c r="BJ205" s="111">
        <v>40901</v>
      </c>
      <c r="BK205" s="2">
        <v>39782</v>
      </c>
    </row>
    <row r="206" spans="3:63" ht="12.75" hidden="1">
      <c r="C206" s="111"/>
      <c r="F206" s="164"/>
      <c r="G206" s="164"/>
      <c r="H206" s="164"/>
      <c r="M206" s="101"/>
      <c r="N206" s="101"/>
      <c r="BJ206" s="111">
        <v>40902</v>
      </c>
      <c r="BK206" s="2">
        <v>39783</v>
      </c>
    </row>
    <row r="207" spans="3:63" ht="12.75" hidden="1">
      <c r="C207" s="111"/>
      <c r="F207" s="164"/>
      <c r="G207" s="164"/>
      <c r="H207" s="164"/>
      <c r="M207" s="101"/>
      <c r="N207" s="101"/>
      <c r="BJ207" s="111">
        <v>40903</v>
      </c>
      <c r="BK207" s="2">
        <v>39784</v>
      </c>
    </row>
    <row r="208" spans="3:63" ht="12.75" hidden="1">
      <c r="C208" s="111"/>
      <c r="F208" s="164"/>
      <c r="G208" s="164"/>
      <c r="H208" s="164"/>
      <c r="M208" s="101"/>
      <c r="N208" s="101"/>
      <c r="V208" s="164"/>
      <c r="W208" s="164"/>
      <c r="X208" s="164"/>
      <c r="BJ208" s="111">
        <v>40904</v>
      </c>
      <c r="BK208" s="2">
        <v>39785</v>
      </c>
    </row>
    <row r="209" spans="3:63" ht="12.75" hidden="1">
      <c r="C209" s="111"/>
      <c r="F209" s="164"/>
      <c r="G209" s="164"/>
      <c r="H209" s="164"/>
      <c r="M209" s="101"/>
      <c r="N209" s="101"/>
      <c r="BJ209" s="111">
        <v>40905</v>
      </c>
      <c r="BK209" s="2">
        <v>39786</v>
      </c>
    </row>
    <row r="210" spans="3:63" ht="12.75" hidden="1">
      <c r="C210" s="111"/>
      <c r="F210" s="164"/>
      <c r="G210" s="164"/>
      <c r="H210" s="164"/>
      <c r="M210" s="101"/>
      <c r="N210" s="101"/>
      <c r="BJ210" s="111">
        <v>40906</v>
      </c>
      <c r="BK210" s="2">
        <v>39787</v>
      </c>
    </row>
    <row r="211" spans="3:63" ht="12.75" hidden="1">
      <c r="C211" s="111"/>
      <c r="F211" s="164"/>
      <c r="G211" s="164"/>
      <c r="H211" s="164"/>
      <c r="M211" s="101"/>
      <c r="N211" s="101"/>
      <c r="BJ211" s="111">
        <v>40907</v>
      </c>
      <c r="BK211" s="2">
        <v>39788</v>
      </c>
    </row>
    <row r="212" spans="3:63" ht="12.75" hidden="1">
      <c r="C212" s="111"/>
      <c r="F212" s="164"/>
      <c r="G212" s="164"/>
      <c r="H212" s="164"/>
      <c r="M212" s="101"/>
      <c r="N212" s="101"/>
      <c r="V212">
        <v>4825</v>
      </c>
      <c r="W212">
        <v>7769</v>
      </c>
      <c r="X212">
        <v>10564</v>
      </c>
      <c r="BJ212" s="111">
        <v>40908</v>
      </c>
      <c r="BK212" s="2">
        <v>39789</v>
      </c>
    </row>
    <row r="213" spans="3:63" ht="12.75" hidden="1">
      <c r="C213" s="111"/>
      <c r="F213" s="164"/>
      <c r="G213" s="164"/>
      <c r="H213" s="164"/>
      <c r="M213" s="101"/>
      <c r="N213" s="101"/>
      <c r="V213">
        <v>85</v>
      </c>
      <c r="W213">
        <v>120</v>
      </c>
      <c r="X213">
        <v>180</v>
      </c>
      <c r="Y213">
        <v>275</v>
      </c>
      <c r="BJ213" s="111">
        <v>40909</v>
      </c>
      <c r="BK213" s="2">
        <v>39790</v>
      </c>
    </row>
    <row r="214" spans="3:63" ht="12.75" hidden="1">
      <c r="C214" s="111"/>
      <c r="F214" s="164"/>
      <c r="G214" s="164"/>
      <c r="H214" s="164"/>
      <c r="M214" s="101"/>
      <c r="N214" s="101"/>
      <c r="V214">
        <v>60</v>
      </c>
      <c r="W214">
        <v>80</v>
      </c>
      <c r="X214">
        <v>125</v>
      </c>
      <c r="Y214">
        <v>200</v>
      </c>
      <c r="BJ214" s="111">
        <v>40910</v>
      </c>
      <c r="BK214" s="2">
        <v>39791</v>
      </c>
    </row>
    <row r="215" spans="3:63" ht="12.75" hidden="1">
      <c r="C215" s="111"/>
      <c r="F215" s="164"/>
      <c r="G215" s="164"/>
      <c r="H215" s="164"/>
      <c r="M215" s="101"/>
      <c r="N215" s="101"/>
      <c r="V215">
        <v>50</v>
      </c>
      <c r="W215">
        <v>60</v>
      </c>
      <c r="X215">
        <v>70</v>
      </c>
      <c r="Y215">
        <v>80</v>
      </c>
      <c r="BJ215" s="111">
        <v>40911</v>
      </c>
      <c r="BK215" s="2">
        <v>39792</v>
      </c>
    </row>
    <row r="216" spans="3:63" ht="12.75" hidden="1">
      <c r="C216" s="111"/>
      <c r="F216" s="164"/>
      <c r="G216" s="164"/>
      <c r="H216" s="164"/>
      <c r="M216" s="101"/>
      <c r="N216" s="101"/>
      <c r="BJ216" s="111">
        <v>40912</v>
      </c>
      <c r="BK216" s="2">
        <v>39793</v>
      </c>
    </row>
    <row r="217" spans="3:63" ht="12.75" hidden="1">
      <c r="C217" s="111"/>
      <c r="F217" s="164"/>
      <c r="G217" s="164"/>
      <c r="H217" s="164"/>
      <c r="M217" s="101"/>
      <c r="N217" s="101"/>
      <c r="BJ217" s="111">
        <v>40913</v>
      </c>
      <c r="BK217" s="2">
        <v>39794</v>
      </c>
    </row>
    <row r="218" spans="3:63" ht="12.75" hidden="1">
      <c r="C218" s="111"/>
      <c r="F218" s="164"/>
      <c r="G218" s="164"/>
      <c r="H218" s="164"/>
      <c r="M218" s="101"/>
      <c r="N218" s="101"/>
      <c r="BJ218" s="111">
        <v>40914</v>
      </c>
      <c r="BK218" s="2">
        <v>39795</v>
      </c>
    </row>
    <row r="219" spans="62:63" ht="12.75" hidden="1">
      <c r="BJ219" s="111">
        <v>40915</v>
      </c>
      <c r="BK219" s="2">
        <v>39796</v>
      </c>
    </row>
    <row r="220" spans="20:63" ht="12.75" hidden="1">
      <c r="T220" s="111"/>
      <c r="U220" s="111"/>
      <c r="BJ220" s="111">
        <v>40916</v>
      </c>
      <c r="BK220" s="2">
        <v>39797</v>
      </c>
    </row>
    <row r="221" spans="5:63" ht="12.75" hidden="1">
      <c r="E221" s="111"/>
      <c r="T221" s="111"/>
      <c r="BJ221" s="111">
        <v>40917</v>
      </c>
      <c r="BK221" s="2">
        <v>39798</v>
      </c>
    </row>
    <row r="222" spans="5:63" ht="12.75" hidden="1">
      <c r="E222" s="111"/>
      <c r="T222" s="111"/>
      <c r="BJ222" s="111">
        <v>40918</v>
      </c>
      <c r="BK222" s="2">
        <v>39799</v>
      </c>
    </row>
    <row r="223" spans="3:63" ht="12.75" hidden="1">
      <c r="C223" s="111"/>
      <c r="F223" s="164"/>
      <c r="G223" s="164"/>
      <c r="H223" s="164"/>
      <c r="M223" s="101"/>
      <c r="N223" s="101"/>
      <c r="BJ223" s="111">
        <v>40919</v>
      </c>
      <c r="BK223" s="2">
        <v>39800</v>
      </c>
    </row>
    <row r="224" spans="3:63" ht="12.75" hidden="1">
      <c r="C224" s="111"/>
      <c r="F224" s="164"/>
      <c r="G224" s="164"/>
      <c r="H224" s="164"/>
      <c r="M224" s="101"/>
      <c r="N224" s="101"/>
      <c r="BJ224" s="111">
        <v>40920</v>
      </c>
      <c r="BK224" s="2">
        <v>39801</v>
      </c>
    </row>
    <row r="225" spans="3:63" ht="12.75" hidden="1">
      <c r="C225" s="111"/>
      <c r="F225" s="164"/>
      <c r="G225" s="164"/>
      <c r="H225" s="164"/>
      <c r="M225" s="101"/>
      <c r="N225" s="101"/>
      <c r="BJ225" s="111">
        <v>40921</v>
      </c>
      <c r="BK225" s="2">
        <v>39802</v>
      </c>
    </row>
    <row r="226" spans="3:63" ht="12.75" hidden="1">
      <c r="C226" s="111"/>
      <c r="F226" s="164"/>
      <c r="G226" s="164"/>
      <c r="H226" s="164"/>
      <c r="M226" s="101"/>
      <c r="N226" s="101"/>
      <c r="BJ226" s="111">
        <v>40922</v>
      </c>
      <c r="BK226" s="2">
        <v>39803</v>
      </c>
    </row>
    <row r="227" spans="3:63" ht="12.75" hidden="1">
      <c r="C227" s="111"/>
      <c r="F227" s="164"/>
      <c r="G227" s="164"/>
      <c r="H227" s="164"/>
      <c r="M227" s="101"/>
      <c r="N227" s="101"/>
      <c r="BJ227" s="111">
        <v>40923</v>
      </c>
      <c r="BK227" s="2">
        <v>39804</v>
      </c>
    </row>
    <row r="228" spans="3:63" ht="12.75" hidden="1">
      <c r="C228" s="111"/>
      <c r="F228" s="164"/>
      <c r="G228" s="164"/>
      <c r="H228" s="164"/>
      <c r="M228" s="101"/>
      <c r="N228" s="101"/>
      <c r="BJ228" s="111">
        <v>40924</v>
      </c>
      <c r="BK228" s="2">
        <v>39805</v>
      </c>
    </row>
    <row r="229" spans="3:63" ht="12.75" hidden="1">
      <c r="C229" s="111"/>
      <c r="F229" s="164"/>
      <c r="G229" s="164"/>
      <c r="H229" s="164"/>
      <c r="M229" s="101"/>
      <c r="N229" s="101"/>
      <c r="BJ229" s="111">
        <v>40925</v>
      </c>
      <c r="BK229" s="2">
        <v>39806</v>
      </c>
    </row>
    <row r="230" spans="3:63" ht="12.75" hidden="1">
      <c r="C230" s="111"/>
      <c r="F230" s="164"/>
      <c r="G230" s="164"/>
      <c r="H230" s="164"/>
      <c r="M230" s="101"/>
      <c r="N230" s="101"/>
      <c r="BJ230" s="111">
        <v>40926</v>
      </c>
      <c r="BK230" s="2">
        <v>39807</v>
      </c>
    </row>
    <row r="231" spans="3:63" ht="12.75" hidden="1">
      <c r="C231" s="111"/>
      <c r="F231" s="164"/>
      <c r="G231" s="164"/>
      <c r="H231" s="164"/>
      <c r="M231" s="101"/>
      <c r="N231" s="101"/>
      <c r="BJ231" s="111">
        <v>40927</v>
      </c>
      <c r="BK231" s="2">
        <v>39808</v>
      </c>
    </row>
    <row r="232" spans="3:63" ht="12.75" hidden="1">
      <c r="C232" s="111"/>
      <c r="F232" s="164"/>
      <c r="G232" s="164"/>
      <c r="H232" s="164"/>
      <c r="M232" s="101"/>
      <c r="N232" s="101"/>
      <c r="BJ232" s="111">
        <v>40928</v>
      </c>
      <c r="BK232" s="2">
        <v>39809</v>
      </c>
    </row>
    <row r="233" spans="3:63" ht="12.75" hidden="1">
      <c r="C233" s="111"/>
      <c r="F233" s="164"/>
      <c r="G233" s="164"/>
      <c r="H233" s="164"/>
      <c r="M233" s="101"/>
      <c r="N233" s="101"/>
      <c r="BJ233" s="111">
        <v>40929</v>
      </c>
      <c r="BK233" s="2">
        <v>39810</v>
      </c>
    </row>
    <row r="234" spans="3:63" ht="12.75" hidden="1">
      <c r="C234" s="111"/>
      <c r="F234" s="164"/>
      <c r="G234" s="164"/>
      <c r="H234" s="164"/>
      <c r="M234" s="101"/>
      <c r="N234" s="101"/>
      <c r="BJ234" s="111">
        <v>40930</v>
      </c>
      <c r="BK234" s="2">
        <v>39811</v>
      </c>
    </row>
    <row r="235" spans="3:63" ht="12.75" hidden="1">
      <c r="C235" s="111"/>
      <c r="F235" s="164"/>
      <c r="G235" s="164"/>
      <c r="H235" s="164"/>
      <c r="M235" s="101"/>
      <c r="N235" s="101"/>
      <c r="BJ235" s="111">
        <v>40931</v>
      </c>
      <c r="BK235" s="2">
        <v>39812</v>
      </c>
    </row>
    <row r="236" spans="3:63" ht="12.75" hidden="1">
      <c r="C236" s="111"/>
      <c r="F236" s="164"/>
      <c r="G236" s="164"/>
      <c r="H236" s="164"/>
      <c r="M236" s="101"/>
      <c r="N236" s="101"/>
      <c r="BJ236" s="111">
        <v>40932</v>
      </c>
      <c r="BK236" s="2">
        <v>39813</v>
      </c>
    </row>
    <row r="237" spans="3:63" ht="12.75" hidden="1">
      <c r="C237" s="111"/>
      <c r="F237" s="164"/>
      <c r="G237" s="164"/>
      <c r="H237" s="164"/>
      <c r="M237" s="101"/>
      <c r="N237" s="101"/>
      <c r="BJ237" s="111">
        <v>40933</v>
      </c>
      <c r="BK237" s="2">
        <v>39814</v>
      </c>
    </row>
    <row r="238" spans="3:63" ht="12.75" hidden="1">
      <c r="C238" s="111"/>
      <c r="F238" s="164"/>
      <c r="G238" s="164"/>
      <c r="H238" s="164"/>
      <c r="M238" s="101"/>
      <c r="N238" s="101"/>
      <c r="BJ238" s="111">
        <v>40934</v>
      </c>
      <c r="BK238" s="2">
        <v>39815</v>
      </c>
    </row>
    <row r="239" spans="3:63" ht="12.75" hidden="1">
      <c r="C239" s="111"/>
      <c r="F239" s="164"/>
      <c r="G239" s="164"/>
      <c r="H239" s="164"/>
      <c r="M239" s="101"/>
      <c r="N239" s="101"/>
      <c r="AA239" s="117"/>
      <c r="BJ239" s="111">
        <v>40935</v>
      </c>
      <c r="BK239" s="2">
        <v>39816</v>
      </c>
    </row>
    <row r="240" spans="3:63" ht="12.75" hidden="1">
      <c r="C240" s="111"/>
      <c r="F240" s="164"/>
      <c r="G240" s="164"/>
      <c r="H240" s="164"/>
      <c r="M240" s="101"/>
      <c r="N240" s="101"/>
      <c r="AA240" s="117"/>
      <c r="BJ240" s="111">
        <v>40936</v>
      </c>
      <c r="BK240" s="2">
        <v>39817</v>
      </c>
    </row>
    <row r="241" spans="3:63" ht="12.75" hidden="1">
      <c r="C241" s="111"/>
      <c r="F241" s="164"/>
      <c r="G241" s="164"/>
      <c r="H241" s="164"/>
      <c r="M241" s="101"/>
      <c r="N241" s="101"/>
      <c r="BJ241" s="111">
        <v>40937</v>
      </c>
      <c r="BK241" s="2">
        <v>39818</v>
      </c>
    </row>
    <row r="242" spans="3:63" ht="12.75" hidden="1">
      <c r="C242">
        <v>1</v>
      </c>
      <c r="D242">
        <v>2</v>
      </c>
      <c r="E242">
        <v>3</v>
      </c>
      <c r="F242">
        <v>4</v>
      </c>
      <c r="G242">
        <v>5</v>
      </c>
      <c r="H242">
        <v>6</v>
      </c>
      <c r="I242">
        <v>7</v>
      </c>
      <c r="J242">
        <v>8</v>
      </c>
      <c r="K242">
        <v>9</v>
      </c>
      <c r="L242">
        <v>10</v>
      </c>
      <c r="M242">
        <v>11</v>
      </c>
      <c r="N242">
        <v>12</v>
      </c>
      <c r="O242">
        <v>13</v>
      </c>
      <c r="P242">
        <v>14</v>
      </c>
      <c r="Q242">
        <v>15</v>
      </c>
      <c r="R242">
        <v>16</v>
      </c>
      <c r="S242">
        <v>17</v>
      </c>
      <c r="T242">
        <v>18</v>
      </c>
      <c r="U242">
        <v>19</v>
      </c>
      <c r="V242">
        <v>20</v>
      </c>
      <c r="W242">
        <v>21</v>
      </c>
      <c r="X242">
        <v>22</v>
      </c>
      <c r="Y242">
        <v>23</v>
      </c>
      <c r="BJ242" s="111">
        <v>40938</v>
      </c>
      <c r="BK242" s="2">
        <v>39819</v>
      </c>
    </row>
    <row r="243" spans="6:63" ht="12.75" hidden="1">
      <c r="F243" t="s">
        <v>602</v>
      </c>
      <c r="G243" t="s">
        <v>603</v>
      </c>
      <c r="H243" t="s">
        <v>604</v>
      </c>
      <c r="I243" s="318" t="s">
        <v>607</v>
      </c>
      <c r="J243" s="318" t="s">
        <v>608</v>
      </c>
      <c r="K243" s="318" t="s">
        <v>609</v>
      </c>
      <c r="N243" s="318" t="s">
        <v>610</v>
      </c>
      <c r="O243" s="318" t="s">
        <v>611</v>
      </c>
      <c r="P243" s="318" t="s">
        <v>612</v>
      </c>
      <c r="Q243" s="318" t="s">
        <v>608</v>
      </c>
      <c r="R243" s="318" t="s">
        <v>613</v>
      </c>
      <c r="S243" s="318" t="s">
        <v>614</v>
      </c>
      <c r="BJ243" s="111">
        <v>40939</v>
      </c>
      <c r="BK243" s="2">
        <v>39820</v>
      </c>
    </row>
    <row r="244" spans="2:63" ht="12.75" hidden="1">
      <c r="B244">
        <v>0</v>
      </c>
      <c r="C244">
        <v>0</v>
      </c>
      <c r="D244">
        <v>0</v>
      </c>
      <c r="E244">
        <v>0</v>
      </c>
      <c r="F244">
        <v>0</v>
      </c>
      <c r="G244">
        <v>0</v>
      </c>
      <c r="H244">
        <v>0</v>
      </c>
      <c r="I244">
        <v>0</v>
      </c>
      <c r="J244">
        <v>0</v>
      </c>
      <c r="K244">
        <v>0</v>
      </c>
      <c r="L244">
        <v>0</v>
      </c>
      <c r="M244">
        <v>0</v>
      </c>
      <c r="N244">
        <v>0</v>
      </c>
      <c r="O244">
        <v>0</v>
      </c>
      <c r="P244">
        <v>0</v>
      </c>
      <c r="Q244">
        <v>0</v>
      </c>
      <c r="R244">
        <v>0</v>
      </c>
      <c r="S244">
        <v>0</v>
      </c>
      <c r="T244">
        <f>E35</f>
        <v>0</v>
      </c>
      <c r="U244">
        <f>E36</f>
        <v>0</v>
      </c>
      <c r="V244">
        <v>0</v>
      </c>
      <c r="W244">
        <v>0</v>
      </c>
      <c r="X244">
        <v>0</v>
      </c>
      <c r="Y244">
        <v>0</v>
      </c>
      <c r="Z244">
        <v>0</v>
      </c>
      <c r="AA244">
        <v>0</v>
      </c>
      <c r="BJ244" s="111">
        <v>40940</v>
      </c>
      <c r="BK244" s="2">
        <v>39821</v>
      </c>
    </row>
    <row r="245" spans="2:63" ht="12.75" hidden="1">
      <c r="B245">
        <v>1</v>
      </c>
      <c r="C245" s="111">
        <f>BE165</f>
        <v>40210</v>
      </c>
      <c r="D245" s="117">
        <f>ROUND(E245-C245+1,0)</f>
        <v>28</v>
      </c>
      <c r="E245" s="111">
        <f aca="true" t="shared" si="125" ref="E245:E275">IF(C246=0,BA165,C246-1)</f>
        <v>40237</v>
      </c>
      <c r="F245">
        <f>VLOOKUP(C245,F72:G79,2,TRUE)</f>
        <v>12190</v>
      </c>
      <c r="G245">
        <f>VLOOKUP(C245,F82:G89,2,TRUE)</f>
        <v>12190</v>
      </c>
      <c r="H245">
        <f>VLOOKUP(C245,AM65:AO69,3,TRUE)</f>
        <v>16.264</v>
      </c>
      <c r="I245">
        <f>IF(C245&lt;E137,IF(C245&lt;AO72,AO70,AN70),IF(C245&lt;AO72,AO71,AN71))</f>
        <v>10</v>
      </c>
      <c r="J245">
        <f aca="true" t="shared" si="126" ref="J245:J275">IF(C245=0,0,I245)</f>
        <v>10</v>
      </c>
      <c r="K245">
        <f>VLOOKUP(MONTH(C245),M126:N137,2,TRUE)</f>
        <v>28</v>
      </c>
      <c r="N245">
        <f>ROUND(F245*D245/K245,0)</f>
        <v>12190</v>
      </c>
      <c r="O245">
        <f aca="true" t="shared" si="127" ref="O245:O275">ROUND(G245*D245/K245,0)</f>
        <v>12190</v>
      </c>
      <c r="P245">
        <f aca="true" t="shared" si="128" ref="P245:P275">ROUND(N245*H245%,0)</f>
        <v>1983</v>
      </c>
      <c r="Q245">
        <f>ROUND(N245*J245%,0)</f>
        <v>1219</v>
      </c>
      <c r="R245">
        <f aca="true" t="shared" si="129" ref="R245:R275">ROUND(O245*H245%,0)</f>
        <v>1983</v>
      </c>
      <c r="S245">
        <f>ROUND(O245*I245%,0)</f>
        <v>1219</v>
      </c>
      <c r="T245">
        <f>ROUND(E35*D245/K245,0)</f>
        <v>0</v>
      </c>
      <c r="U245">
        <f>ROUND(E35*D245/K245,0)</f>
        <v>0</v>
      </c>
      <c r="W245" s="111">
        <f>C245</f>
        <v>40210</v>
      </c>
      <c r="X245" s="124">
        <f>40695</f>
        <v>40695</v>
      </c>
      <c r="Y245">
        <v>1</v>
      </c>
      <c r="Z245">
        <f>VLOOKUP(C245,BILL!D5:N26,11,TRUE)</f>
        <v>150</v>
      </c>
      <c r="BJ245" s="111">
        <v>40941</v>
      </c>
      <c r="BK245" s="2">
        <v>39822</v>
      </c>
    </row>
    <row r="246" spans="2:63" ht="12.75" hidden="1">
      <c r="B246">
        <v>2</v>
      </c>
      <c r="C246" s="111">
        <f>IF(BF166=C245,C245,BF166)</f>
        <v>40238</v>
      </c>
      <c r="D246" s="117">
        <f>ROUND(IF(C246=0,0,E246-C246+1),0)</f>
        <v>31</v>
      </c>
      <c r="E246" s="111">
        <f t="shared" si="125"/>
        <v>40268</v>
      </c>
      <c r="F246">
        <f>VLOOKUP(C246,F72:G79,2,TRUE)</f>
        <v>12190</v>
      </c>
      <c r="G246">
        <f>VLOOKUP(C246,F82:G89,2,TRUE)</f>
        <v>12190</v>
      </c>
      <c r="H246">
        <f>VLOOKUP(C246,AM65:AO69,3,TRUE)</f>
        <v>16.264</v>
      </c>
      <c r="I246" s="318">
        <f>IF(C246&lt;E137,IF(C246&lt;AO72,AO70,AN70),IF(C246&lt;AO72,AO71,AN71))</f>
        <v>10</v>
      </c>
      <c r="J246">
        <f t="shared" si="126"/>
        <v>10</v>
      </c>
      <c r="K246">
        <f>VLOOKUP(MONTH(C246),M126:N137,2,TRUE)</f>
        <v>31</v>
      </c>
      <c r="N246">
        <f aca="true" t="shared" si="130" ref="N246:N275">ROUND(F246*D246/K246,0)</f>
        <v>12190</v>
      </c>
      <c r="O246">
        <f t="shared" si="127"/>
        <v>12190</v>
      </c>
      <c r="P246">
        <f t="shared" si="128"/>
        <v>1983</v>
      </c>
      <c r="Q246">
        <f aca="true" t="shared" si="131" ref="Q246:Q275">ROUND(N246*J246%,0)</f>
        <v>1219</v>
      </c>
      <c r="R246">
        <f t="shared" si="129"/>
        <v>1983</v>
      </c>
      <c r="S246">
        <f aca="true" t="shared" si="132" ref="S246:S275">ROUND(O246*I246%,0)</f>
        <v>1219</v>
      </c>
      <c r="T246">
        <f>ROUND(E35*D246/K246,0)</f>
        <v>0</v>
      </c>
      <c r="U246">
        <f>ROUND(E36*D246/K246,0)</f>
        <v>0</v>
      </c>
      <c r="W246" s="111">
        <f>IF(C246=0,W245+1,C246)</f>
        <v>40238</v>
      </c>
      <c r="X246" s="2">
        <f>X245</f>
        <v>40695</v>
      </c>
      <c r="Y246">
        <v>2</v>
      </c>
      <c r="Z246">
        <f>VLOOKUP(C246,BILL!D6:N27,11,TRUE)</f>
        <v>150</v>
      </c>
      <c r="BJ246" s="111">
        <v>40942</v>
      </c>
      <c r="BK246" s="2">
        <v>39823</v>
      </c>
    </row>
    <row r="247" spans="2:63" ht="12.75" hidden="1">
      <c r="B247">
        <v>3</v>
      </c>
      <c r="C247" s="111">
        <f>BG167</f>
        <v>40269</v>
      </c>
      <c r="D247" s="117">
        <f aca="true" t="shared" si="133" ref="D247:D275">ROUND(IF(C247=0,0,E247-C247+1),0)</f>
        <v>30</v>
      </c>
      <c r="E247" s="111">
        <f t="shared" si="125"/>
        <v>40298</v>
      </c>
      <c r="F247">
        <f>VLOOKUP(C247,F72:G79,2,TRUE)</f>
        <v>12190</v>
      </c>
      <c r="G247">
        <f>VLOOKUP(C247,F82:G89,2,TRUE)</f>
        <v>12190</v>
      </c>
      <c r="H247">
        <f>VLOOKUP(C247,AM65:AO69,3,TRUE)</f>
        <v>16.264</v>
      </c>
      <c r="I247" s="318">
        <f>IF(C247&lt;E137,IF(C247&lt;AO72,AO70,AN70),IF(C247&lt;AO72,AO71,AN71))</f>
        <v>10</v>
      </c>
      <c r="J247">
        <f t="shared" si="126"/>
        <v>10</v>
      </c>
      <c r="K247">
        <f>VLOOKUP(MONTH(C247),M126:N137,2,TRUE)</f>
        <v>30</v>
      </c>
      <c r="N247">
        <f t="shared" si="130"/>
        <v>12190</v>
      </c>
      <c r="O247">
        <f t="shared" si="127"/>
        <v>12190</v>
      </c>
      <c r="P247">
        <f t="shared" si="128"/>
        <v>1983</v>
      </c>
      <c r="Q247">
        <f t="shared" si="131"/>
        <v>1219</v>
      </c>
      <c r="R247">
        <f t="shared" si="129"/>
        <v>1983</v>
      </c>
      <c r="S247">
        <f t="shared" si="132"/>
        <v>1219</v>
      </c>
      <c r="T247">
        <f>ROUND(E35*D247/K247,0)</f>
        <v>0</v>
      </c>
      <c r="U247">
        <f>ROUND(E36*D247/K247,0)</f>
        <v>0</v>
      </c>
      <c r="W247" s="111">
        <f aca="true" t="shared" si="134" ref="W247:W275">IF(C247=0,W246+1,C247)</f>
        <v>40269</v>
      </c>
      <c r="X247" s="2">
        <f aca="true" t="shared" si="135" ref="X247:X275">X246</f>
        <v>40695</v>
      </c>
      <c r="Y247">
        <v>3</v>
      </c>
      <c r="Z247">
        <f>VLOOKUP(C247,BILL!D7:N28,11,TRUE)</f>
        <v>150</v>
      </c>
      <c r="BJ247" s="111">
        <v>40943</v>
      </c>
      <c r="BK247" s="2">
        <v>39824</v>
      </c>
    </row>
    <row r="248" spans="2:63" ht="12.75" hidden="1">
      <c r="B248">
        <v>4</v>
      </c>
      <c r="C248" s="111">
        <f>BH168</f>
        <v>40299</v>
      </c>
      <c r="D248" s="117">
        <f t="shared" si="133"/>
        <v>31</v>
      </c>
      <c r="E248" s="111">
        <f t="shared" si="125"/>
        <v>40329</v>
      </c>
      <c r="F248">
        <f>VLOOKUP(C248,F72:G79,2,TRUE)</f>
        <v>12190</v>
      </c>
      <c r="G248">
        <f>VLOOKUP(C248,F82:G89,2,TRUE)</f>
        <v>12190</v>
      </c>
      <c r="H248">
        <f>VLOOKUP(C248,AM65:AO69,3,TRUE)</f>
        <v>16.264</v>
      </c>
      <c r="I248" s="318">
        <f>IF(C248&lt;E137,IF(C248&lt;AO72,AO70,AN70),IF(C248&lt;AO72,AO71,AN71))</f>
        <v>10</v>
      </c>
      <c r="J248">
        <f t="shared" si="126"/>
        <v>10</v>
      </c>
      <c r="K248">
        <f>VLOOKUP(MONTH(C248),M126:N137,2,TRUE)</f>
        <v>31</v>
      </c>
      <c r="N248">
        <f t="shared" si="130"/>
        <v>12190</v>
      </c>
      <c r="O248">
        <f t="shared" si="127"/>
        <v>12190</v>
      </c>
      <c r="P248">
        <f t="shared" si="128"/>
        <v>1983</v>
      </c>
      <c r="Q248">
        <f t="shared" si="131"/>
        <v>1219</v>
      </c>
      <c r="R248">
        <f t="shared" si="129"/>
        <v>1983</v>
      </c>
      <c r="S248">
        <f t="shared" si="132"/>
        <v>1219</v>
      </c>
      <c r="T248">
        <f>ROUND(E35*D248/K248,0)</f>
        <v>0</v>
      </c>
      <c r="U248">
        <f>ROUND(E36*D248/K248,0)</f>
        <v>0</v>
      </c>
      <c r="W248" s="111">
        <f t="shared" si="134"/>
        <v>40299</v>
      </c>
      <c r="X248" s="2">
        <f t="shared" si="135"/>
        <v>40695</v>
      </c>
      <c r="Y248">
        <v>4</v>
      </c>
      <c r="Z248">
        <f>VLOOKUP(C248,BILL!D8:N29,11,TRUE)</f>
        <v>150</v>
      </c>
      <c r="BJ248" s="111">
        <v>40944</v>
      </c>
      <c r="BK248" s="2">
        <v>39825</v>
      </c>
    </row>
    <row r="249" spans="2:63" ht="12.75" hidden="1">
      <c r="B249">
        <v>5</v>
      </c>
      <c r="C249" s="111">
        <f>BQ169</f>
        <v>40330</v>
      </c>
      <c r="D249" s="117">
        <f t="shared" si="133"/>
        <v>30</v>
      </c>
      <c r="E249" s="111">
        <f t="shared" si="125"/>
        <v>40359</v>
      </c>
      <c r="F249">
        <f>VLOOKUP(C249,F72:G79,2,TRUE)</f>
        <v>12190</v>
      </c>
      <c r="G249">
        <f>VLOOKUP(C249,F82:G89,2,TRUE)</f>
        <v>12190</v>
      </c>
      <c r="H249">
        <f>VLOOKUP(C249,AM65:AO69,3,TRUE)</f>
        <v>16.264</v>
      </c>
      <c r="I249" s="318">
        <f>IF(C249&lt;E137,IF(C249&lt;AO72,AO70,AN70),IF(C249&lt;AO72,AO71,AN71))</f>
        <v>10</v>
      </c>
      <c r="J249">
        <f t="shared" si="126"/>
        <v>10</v>
      </c>
      <c r="K249">
        <f>VLOOKUP(MONTH(C249),M126:N137,2,TRUE)</f>
        <v>30</v>
      </c>
      <c r="N249">
        <f t="shared" si="130"/>
        <v>12190</v>
      </c>
      <c r="O249">
        <f t="shared" si="127"/>
        <v>12190</v>
      </c>
      <c r="P249">
        <f t="shared" si="128"/>
        <v>1983</v>
      </c>
      <c r="Q249">
        <f t="shared" si="131"/>
        <v>1219</v>
      </c>
      <c r="R249">
        <f t="shared" si="129"/>
        <v>1983</v>
      </c>
      <c r="S249">
        <f t="shared" si="132"/>
        <v>1219</v>
      </c>
      <c r="T249">
        <f>ROUND(E35*D249/K249,0)</f>
        <v>0</v>
      </c>
      <c r="U249">
        <f>ROUND(E36*D249/K249,0)</f>
        <v>0</v>
      </c>
      <c r="W249" s="111">
        <f t="shared" si="134"/>
        <v>40330</v>
      </c>
      <c r="X249" s="2">
        <f t="shared" si="135"/>
        <v>40695</v>
      </c>
      <c r="Y249">
        <v>5</v>
      </c>
      <c r="Z249">
        <f>VLOOKUP(C249,BILL!D9:N30,11,TRUE)</f>
        <v>150</v>
      </c>
      <c r="BJ249" s="111">
        <v>40945</v>
      </c>
      <c r="BK249" s="2">
        <v>39826</v>
      </c>
    </row>
    <row r="250" spans="2:63" ht="12.75" hidden="1">
      <c r="B250">
        <v>6</v>
      </c>
      <c r="C250" s="111">
        <f>BR170</f>
        <v>40360</v>
      </c>
      <c r="D250" s="117">
        <f t="shared" si="133"/>
        <v>31</v>
      </c>
      <c r="E250" s="111">
        <f t="shared" si="125"/>
        <v>40390</v>
      </c>
      <c r="F250">
        <f>VLOOKUP(C250,F72:G79,2,TRUE)</f>
        <v>12190</v>
      </c>
      <c r="G250">
        <f>VLOOKUP(C250,F82:G89,2,TRUE)</f>
        <v>12190</v>
      </c>
      <c r="H250">
        <f>VLOOKUP(C250,AM65:AO69,3,TRUE)</f>
        <v>24.824</v>
      </c>
      <c r="I250" s="318">
        <f>IF(C250&lt;E137,IF(C250&lt;AO72,AO70,AN70),IF(C250&lt;AO72,AO71,AN71))</f>
        <v>10</v>
      </c>
      <c r="J250">
        <f t="shared" si="126"/>
        <v>10</v>
      </c>
      <c r="K250">
        <f>VLOOKUP(MONTH(C250),M126:N137,2,TRUE)</f>
        <v>31</v>
      </c>
      <c r="N250">
        <f t="shared" si="130"/>
        <v>12190</v>
      </c>
      <c r="O250">
        <f t="shared" si="127"/>
        <v>12190</v>
      </c>
      <c r="P250">
        <f t="shared" si="128"/>
        <v>3026</v>
      </c>
      <c r="Q250">
        <f t="shared" si="131"/>
        <v>1219</v>
      </c>
      <c r="R250">
        <f t="shared" si="129"/>
        <v>3026</v>
      </c>
      <c r="S250">
        <f t="shared" si="132"/>
        <v>1219</v>
      </c>
      <c r="T250">
        <f>ROUND(E35*D250/K250,0)</f>
        <v>0</v>
      </c>
      <c r="U250">
        <f>ROUND(E36*D250/K250,0)</f>
        <v>0</v>
      </c>
      <c r="W250" s="111">
        <f t="shared" si="134"/>
        <v>40360</v>
      </c>
      <c r="X250" s="2">
        <f t="shared" si="135"/>
        <v>40695</v>
      </c>
      <c r="Y250">
        <v>6</v>
      </c>
      <c r="Z250">
        <f>VLOOKUP(C250,BILL!D10:N31,11,TRUE)</f>
        <v>150</v>
      </c>
      <c r="BJ250" s="111">
        <v>40946</v>
      </c>
      <c r="BK250" s="2">
        <v>39827</v>
      </c>
    </row>
    <row r="251" spans="2:63" ht="12.75" hidden="1">
      <c r="B251">
        <v>7</v>
      </c>
      <c r="C251" s="111">
        <f>BS171</f>
        <v>40391</v>
      </c>
      <c r="D251" s="117">
        <f t="shared" si="133"/>
        <v>31</v>
      </c>
      <c r="E251" s="111">
        <f t="shared" si="125"/>
        <v>40421</v>
      </c>
      <c r="F251">
        <f>VLOOKUP(C251,F72:G79,2,TRUE)</f>
        <v>12190</v>
      </c>
      <c r="G251">
        <f>VLOOKUP(C251,F82:G89,2,TRUE)</f>
        <v>12190</v>
      </c>
      <c r="H251">
        <f>VLOOKUP(C251,AM65:AO69,3,TRUE)</f>
        <v>24.824</v>
      </c>
      <c r="I251" s="318">
        <f>IF(C251&lt;E137,IF(C251&lt;AO72,AO70,AN70),IF(C251&lt;AO72,AO71,AN71))</f>
        <v>10</v>
      </c>
      <c r="J251">
        <f t="shared" si="126"/>
        <v>10</v>
      </c>
      <c r="K251">
        <f>VLOOKUP(MONTH(C251),M126:N137,2,TRUE)</f>
        <v>31</v>
      </c>
      <c r="N251">
        <f t="shared" si="130"/>
        <v>12190</v>
      </c>
      <c r="O251">
        <f t="shared" si="127"/>
        <v>12190</v>
      </c>
      <c r="P251">
        <f t="shared" si="128"/>
        <v>3026</v>
      </c>
      <c r="Q251">
        <f t="shared" si="131"/>
        <v>1219</v>
      </c>
      <c r="R251">
        <f t="shared" si="129"/>
        <v>3026</v>
      </c>
      <c r="S251">
        <f t="shared" si="132"/>
        <v>1219</v>
      </c>
      <c r="T251">
        <f>ROUND(E35*D251/K251,0)</f>
        <v>0</v>
      </c>
      <c r="U251">
        <f>ROUND(E36*D251/K251,0)</f>
        <v>0</v>
      </c>
      <c r="W251" s="111">
        <f t="shared" si="134"/>
        <v>40391</v>
      </c>
      <c r="X251" s="2">
        <f t="shared" si="135"/>
        <v>40695</v>
      </c>
      <c r="Y251">
        <v>7</v>
      </c>
      <c r="Z251">
        <f>VLOOKUP(C251,BILL!D11:N32,11,TRUE)</f>
        <v>150</v>
      </c>
      <c r="BJ251" s="111">
        <v>40947</v>
      </c>
      <c r="BK251" s="2">
        <v>39828</v>
      </c>
    </row>
    <row r="252" spans="2:63" ht="12.75" hidden="1">
      <c r="B252">
        <v>8</v>
      </c>
      <c r="C252" s="111">
        <f>BT172</f>
        <v>40422</v>
      </c>
      <c r="D252" s="117">
        <f t="shared" si="133"/>
        <v>30</v>
      </c>
      <c r="E252" s="111">
        <f t="shared" si="125"/>
        <v>40451</v>
      </c>
      <c r="F252">
        <f>VLOOKUP(C252,F72:G79,2,TRUE)</f>
        <v>12190</v>
      </c>
      <c r="G252">
        <f>VLOOKUP(C252,F82:G89,2,TRUE)</f>
        <v>12190</v>
      </c>
      <c r="H252">
        <f>VLOOKUP(C252,AM65:AO69,3,TRUE)</f>
        <v>24.824</v>
      </c>
      <c r="I252" s="318">
        <f>IF(C252&lt;E137,IF(C252&lt;AO72,AO70,AN70),IF(C252&lt;AO72,AO71,AN71))</f>
        <v>10</v>
      </c>
      <c r="J252">
        <f t="shared" si="126"/>
        <v>10</v>
      </c>
      <c r="K252">
        <f>VLOOKUP(MONTH(C252),M126:N137,2,TRUE)</f>
        <v>30</v>
      </c>
      <c r="N252">
        <f t="shared" si="130"/>
        <v>12190</v>
      </c>
      <c r="O252">
        <f t="shared" si="127"/>
        <v>12190</v>
      </c>
      <c r="P252">
        <f t="shared" si="128"/>
        <v>3026</v>
      </c>
      <c r="Q252">
        <f t="shared" si="131"/>
        <v>1219</v>
      </c>
      <c r="R252">
        <f t="shared" si="129"/>
        <v>3026</v>
      </c>
      <c r="S252">
        <f t="shared" si="132"/>
        <v>1219</v>
      </c>
      <c r="T252">
        <f>ROUND(E35*D252/K252,0)</f>
        <v>0</v>
      </c>
      <c r="U252">
        <f>ROUND(E36*D252/K252,0)</f>
        <v>0</v>
      </c>
      <c r="W252" s="111">
        <f t="shared" si="134"/>
        <v>40422</v>
      </c>
      <c r="X252" s="2">
        <f t="shared" si="135"/>
        <v>40695</v>
      </c>
      <c r="Y252">
        <v>8</v>
      </c>
      <c r="Z252">
        <f>VLOOKUP(C252,BILL!D12:N33,11,TRUE)</f>
        <v>0</v>
      </c>
      <c r="BJ252" s="111">
        <v>40948</v>
      </c>
      <c r="BK252" s="2">
        <v>39829</v>
      </c>
    </row>
    <row r="253" spans="2:63" ht="12.75" hidden="1">
      <c r="B253">
        <v>9</v>
      </c>
      <c r="C253" s="111">
        <f>BU173</f>
        <v>40452</v>
      </c>
      <c r="D253" s="117">
        <f t="shared" si="133"/>
        <v>31</v>
      </c>
      <c r="E253" s="111">
        <f t="shared" si="125"/>
        <v>40482</v>
      </c>
      <c r="F253">
        <f>VLOOKUP(C253,F72:G79,2,TRUE)</f>
        <v>12550</v>
      </c>
      <c r="G253">
        <f>VLOOKUP(C253,F82:G89,2,TRUE)</f>
        <v>12550</v>
      </c>
      <c r="H253">
        <f>VLOOKUP(C253,AM65:AO69,3,TRUE)</f>
        <v>24.824</v>
      </c>
      <c r="I253" s="318">
        <f>IF(C253&lt;E137,IF(C253&lt;AO72,AO70,AN70),IF(C253&lt;AO72,AO71,AN71))</f>
        <v>10</v>
      </c>
      <c r="J253">
        <f t="shared" si="126"/>
        <v>10</v>
      </c>
      <c r="K253">
        <f>VLOOKUP(MONTH(C253),M126:N137,2,TRUE)</f>
        <v>31</v>
      </c>
      <c r="N253">
        <f t="shared" si="130"/>
        <v>12550</v>
      </c>
      <c r="O253">
        <f t="shared" si="127"/>
        <v>12550</v>
      </c>
      <c r="P253">
        <f t="shared" si="128"/>
        <v>3115</v>
      </c>
      <c r="Q253">
        <f t="shared" si="131"/>
        <v>1255</v>
      </c>
      <c r="R253">
        <f t="shared" si="129"/>
        <v>3115</v>
      </c>
      <c r="S253">
        <f t="shared" si="132"/>
        <v>1255</v>
      </c>
      <c r="T253">
        <f>ROUND(E35*D253/K253,0)</f>
        <v>0</v>
      </c>
      <c r="U253">
        <f>ROUND(E36*D253/K253,0)</f>
        <v>0</v>
      </c>
      <c r="W253" s="111">
        <f t="shared" si="134"/>
        <v>40452</v>
      </c>
      <c r="X253" s="2">
        <f t="shared" si="135"/>
        <v>40695</v>
      </c>
      <c r="Y253">
        <v>9</v>
      </c>
      <c r="Z253">
        <f>VLOOKUP(C253,BILL!D13:N34,11,TRUE)</f>
        <v>0</v>
      </c>
      <c r="BJ253" s="111">
        <v>40949</v>
      </c>
      <c r="BK253" s="2">
        <v>39830</v>
      </c>
    </row>
    <row r="254" spans="2:63" ht="12.75" hidden="1">
      <c r="B254">
        <v>10</v>
      </c>
      <c r="C254" s="111">
        <f>BV174</f>
        <v>40483</v>
      </c>
      <c r="D254" s="117">
        <f t="shared" si="133"/>
        <v>30</v>
      </c>
      <c r="E254" s="111">
        <f t="shared" si="125"/>
        <v>40512</v>
      </c>
      <c r="F254">
        <f>VLOOKUP(C254,F72:G79,2,TRUE)</f>
        <v>12550</v>
      </c>
      <c r="G254">
        <f>VLOOKUP(C254,F82:G89,2,TRUE)</f>
        <v>12550</v>
      </c>
      <c r="H254">
        <f>VLOOKUP(C254,AM65:AO69,3,TRUE)</f>
        <v>24.824</v>
      </c>
      <c r="I254" s="318">
        <f>IF(C254&lt;E137,IF(C254&lt;AO72,AO70,AN70),IF(C254&lt;AO72,AO71,AN71))</f>
        <v>10</v>
      </c>
      <c r="J254">
        <f t="shared" si="126"/>
        <v>10</v>
      </c>
      <c r="K254">
        <f>VLOOKUP(MONTH(C254),M126:N137,2,TRUE)</f>
        <v>30</v>
      </c>
      <c r="N254">
        <f t="shared" si="130"/>
        <v>12550</v>
      </c>
      <c r="O254">
        <f t="shared" si="127"/>
        <v>12550</v>
      </c>
      <c r="P254">
        <f t="shared" si="128"/>
        <v>3115</v>
      </c>
      <c r="Q254">
        <f t="shared" si="131"/>
        <v>1255</v>
      </c>
      <c r="R254">
        <f t="shared" si="129"/>
        <v>3115</v>
      </c>
      <c r="S254">
        <f t="shared" si="132"/>
        <v>1255</v>
      </c>
      <c r="T254">
        <f>ROUND(E35*D254/K254,0)</f>
        <v>0</v>
      </c>
      <c r="U254">
        <f>ROUND(E36*D254/K254,0)</f>
        <v>0</v>
      </c>
      <c r="W254" s="111">
        <f t="shared" si="134"/>
        <v>40483</v>
      </c>
      <c r="X254" s="2">
        <f t="shared" si="135"/>
        <v>40695</v>
      </c>
      <c r="Y254">
        <v>10</v>
      </c>
      <c r="Z254">
        <f>VLOOKUP(C254,BILL!D14:N35,11,TRUE)</f>
        <v>0</v>
      </c>
      <c r="BJ254" s="111">
        <v>40950</v>
      </c>
      <c r="BK254" s="2">
        <v>39831</v>
      </c>
    </row>
    <row r="255" spans="2:63" ht="12.75" hidden="1">
      <c r="B255">
        <v>11</v>
      </c>
      <c r="C255" s="111">
        <f>BW175</f>
        <v>40513</v>
      </c>
      <c r="D255" s="117">
        <f t="shared" si="133"/>
        <v>31</v>
      </c>
      <c r="E255" s="111">
        <f t="shared" si="125"/>
        <v>40543</v>
      </c>
      <c r="F255">
        <f>VLOOKUP(C255,F72:G79,2,TRUE)</f>
        <v>12550</v>
      </c>
      <c r="G255">
        <f>VLOOKUP(C255,F82:G89,2,TRUE)</f>
        <v>12550</v>
      </c>
      <c r="H255">
        <f>VLOOKUP(C255,AM65:AO69,3,TRUE)</f>
        <v>24.824</v>
      </c>
      <c r="I255" s="318">
        <f>IF(C255&lt;E137,IF(C255&lt;AO72,AO70,AN70),IF(C255&lt;AO72,AO71,AN71))</f>
        <v>10</v>
      </c>
      <c r="J255">
        <f t="shared" si="126"/>
        <v>10</v>
      </c>
      <c r="K255">
        <f>VLOOKUP(MONTH(C255),M126:N137,2,TRUE)</f>
        <v>31</v>
      </c>
      <c r="N255">
        <f t="shared" si="130"/>
        <v>12550</v>
      </c>
      <c r="O255">
        <f t="shared" si="127"/>
        <v>12550</v>
      </c>
      <c r="P255">
        <f t="shared" si="128"/>
        <v>3115</v>
      </c>
      <c r="Q255">
        <f t="shared" si="131"/>
        <v>1255</v>
      </c>
      <c r="R255">
        <f t="shared" si="129"/>
        <v>3115</v>
      </c>
      <c r="S255">
        <f t="shared" si="132"/>
        <v>1255</v>
      </c>
      <c r="T255">
        <f>ROUND(E35*D255/K255,0)</f>
        <v>0</v>
      </c>
      <c r="U255">
        <f>ROUND(E36*D255/K255,0)</f>
        <v>0</v>
      </c>
      <c r="W255" s="111">
        <f t="shared" si="134"/>
        <v>40513</v>
      </c>
      <c r="X255" s="2">
        <f t="shared" si="135"/>
        <v>40695</v>
      </c>
      <c r="Y255">
        <v>11</v>
      </c>
      <c r="Z255">
        <f>VLOOKUP(C255,BILL!D15:N36,11,TRUE)</f>
        <v>0</v>
      </c>
      <c r="BJ255" s="111">
        <v>40951</v>
      </c>
      <c r="BK255" s="2">
        <v>39832</v>
      </c>
    </row>
    <row r="256" spans="2:63" ht="12.75" hidden="1">
      <c r="B256">
        <v>12</v>
      </c>
      <c r="C256" s="111">
        <f>BX176</f>
        <v>40544</v>
      </c>
      <c r="D256" s="117">
        <f t="shared" si="133"/>
        <v>31</v>
      </c>
      <c r="E256" s="111">
        <f t="shared" si="125"/>
        <v>40574</v>
      </c>
      <c r="F256">
        <f>VLOOKUP(C256,F72:G79,2,TRUE)</f>
        <v>12550</v>
      </c>
      <c r="G256">
        <f>VLOOKUP(C256,F82:G89,2,TRUE)</f>
        <v>12550</v>
      </c>
      <c r="H256">
        <f>VLOOKUP(C256,AM65:AO69,3,TRUE)</f>
        <v>29.96</v>
      </c>
      <c r="I256" s="318">
        <f>IF(C256&lt;E137,IF(C256&lt;AO72,AO70,AN70),IF(C256&lt;AO72,AO71,AN71))</f>
        <v>10</v>
      </c>
      <c r="J256">
        <f t="shared" si="126"/>
        <v>10</v>
      </c>
      <c r="K256">
        <f>VLOOKUP(MONTH(C256),M126:N137,2,TRUE)</f>
        <v>31</v>
      </c>
      <c r="N256">
        <f t="shared" si="130"/>
        <v>12550</v>
      </c>
      <c r="O256">
        <f t="shared" si="127"/>
        <v>12550</v>
      </c>
      <c r="P256">
        <f t="shared" si="128"/>
        <v>3760</v>
      </c>
      <c r="Q256">
        <f t="shared" si="131"/>
        <v>1255</v>
      </c>
      <c r="R256">
        <f t="shared" si="129"/>
        <v>3760</v>
      </c>
      <c r="S256">
        <f t="shared" si="132"/>
        <v>1255</v>
      </c>
      <c r="T256">
        <f>ROUND(E35*D256/K256,0)</f>
        <v>0</v>
      </c>
      <c r="U256">
        <f>ROUND(E36*D256/K256,0)</f>
        <v>0</v>
      </c>
      <c r="W256" s="111">
        <f t="shared" si="134"/>
        <v>40544</v>
      </c>
      <c r="X256" s="2">
        <f t="shared" si="135"/>
        <v>40695</v>
      </c>
      <c r="Y256">
        <v>12</v>
      </c>
      <c r="Z256">
        <f>VLOOKUP(C256,BILL!D16:N37,11,TRUE)</f>
        <v>0</v>
      </c>
      <c r="BJ256" s="111">
        <v>40952</v>
      </c>
      <c r="BK256" s="2">
        <v>39833</v>
      </c>
    </row>
    <row r="257" spans="2:63" ht="12.75" hidden="1">
      <c r="B257">
        <v>13</v>
      </c>
      <c r="C257" s="111">
        <f>BY177</f>
        <v>40575</v>
      </c>
      <c r="D257" s="117">
        <f t="shared" si="133"/>
        <v>28</v>
      </c>
      <c r="E257" s="111">
        <f t="shared" si="125"/>
        <v>40602</v>
      </c>
      <c r="F257">
        <f>VLOOKUP(C257,F72:G79,2,TRUE)</f>
        <v>12550</v>
      </c>
      <c r="G257">
        <f>VLOOKUP(C257,F82:G89,2,TRUE)</f>
        <v>12550</v>
      </c>
      <c r="H257">
        <f>VLOOKUP(C257,AM65:AO69,3,TRUE)</f>
        <v>29.96</v>
      </c>
      <c r="I257" s="318">
        <f>IF(C257&lt;E137,IF(C257&lt;AO72,AO70,AN70),IF(C257&lt;AO72,AO71,AN71))</f>
        <v>10</v>
      </c>
      <c r="J257">
        <f t="shared" si="126"/>
        <v>10</v>
      </c>
      <c r="K257">
        <f>VLOOKUP(MONTH(C257),M126:N137,2,TRUE)</f>
        <v>28</v>
      </c>
      <c r="N257">
        <f t="shared" si="130"/>
        <v>12550</v>
      </c>
      <c r="O257">
        <f t="shared" si="127"/>
        <v>12550</v>
      </c>
      <c r="P257">
        <f t="shared" si="128"/>
        <v>3760</v>
      </c>
      <c r="Q257">
        <f t="shared" si="131"/>
        <v>1255</v>
      </c>
      <c r="R257">
        <f t="shared" si="129"/>
        <v>3760</v>
      </c>
      <c r="S257">
        <f t="shared" si="132"/>
        <v>1255</v>
      </c>
      <c r="T257">
        <f>ROUND(E35*D257/K257,0)</f>
        <v>0</v>
      </c>
      <c r="U257">
        <f>ROUND(E36*D257/K257,0)</f>
        <v>0</v>
      </c>
      <c r="W257" s="111">
        <f t="shared" si="134"/>
        <v>40575</v>
      </c>
      <c r="X257" s="2">
        <f t="shared" si="135"/>
        <v>40695</v>
      </c>
      <c r="Y257">
        <v>13</v>
      </c>
      <c r="Z257">
        <f>VLOOKUP(C257,BILL!D17:N38,11,TRUE)</f>
        <v>0</v>
      </c>
      <c r="BJ257" s="111">
        <v>40953</v>
      </c>
      <c r="BK257" s="2">
        <v>39834</v>
      </c>
    </row>
    <row r="258" spans="2:63" ht="12.75" hidden="1">
      <c r="B258">
        <v>14</v>
      </c>
      <c r="C258" s="111">
        <f>BZ178</f>
        <v>40603</v>
      </c>
      <c r="D258" s="117">
        <f t="shared" si="133"/>
        <v>25</v>
      </c>
      <c r="E258" s="111">
        <f t="shared" si="125"/>
        <v>40627.01</v>
      </c>
      <c r="F258">
        <f>VLOOKUP(C258,F72:G79,2,TRUE)</f>
        <v>12550</v>
      </c>
      <c r="G258">
        <f>VLOOKUP(C258,F82:G89,2,TRUE)</f>
        <v>12550</v>
      </c>
      <c r="H258">
        <f>VLOOKUP(C258,AM65:AO69,3,TRUE)</f>
        <v>29.96</v>
      </c>
      <c r="I258" s="318">
        <f>IF(C258&lt;E137,IF(C258&lt;AO72,AO70,AN70),IF(C258&lt;AO72,AO71,AN71))</f>
        <v>10</v>
      </c>
      <c r="J258">
        <f t="shared" si="126"/>
        <v>10</v>
      </c>
      <c r="K258">
        <f>VLOOKUP(MONTH(C258),M126:N137,2,TRUE)</f>
        <v>31</v>
      </c>
      <c r="N258">
        <f t="shared" si="130"/>
        <v>10121</v>
      </c>
      <c r="O258">
        <f t="shared" si="127"/>
        <v>10121</v>
      </c>
      <c r="P258">
        <f t="shared" si="128"/>
        <v>3032</v>
      </c>
      <c r="Q258">
        <f t="shared" si="131"/>
        <v>1012</v>
      </c>
      <c r="R258">
        <f t="shared" si="129"/>
        <v>3032</v>
      </c>
      <c r="S258">
        <f t="shared" si="132"/>
        <v>1012</v>
      </c>
      <c r="T258">
        <f>ROUND(E35*D258/K258,0)</f>
        <v>0</v>
      </c>
      <c r="U258">
        <f>ROUND(E36*D258/K258,0)</f>
        <v>0</v>
      </c>
      <c r="W258" s="111">
        <f t="shared" si="134"/>
        <v>40603</v>
      </c>
      <c r="X258" s="2">
        <f t="shared" si="135"/>
        <v>40695</v>
      </c>
      <c r="Y258">
        <v>14</v>
      </c>
      <c r="Z258">
        <f>VLOOKUP(C258,BILL!D18:N39,11,TRUE)</f>
        <v>0</v>
      </c>
      <c r="BJ258" s="111">
        <v>40954</v>
      </c>
      <c r="BK258" s="2">
        <v>39835</v>
      </c>
    </row>
    <row r="259" spans="2:63" ht="12.75" hidden="1">
      <c r="B259">
        <v>15</v>
      </c>
      <c r="C259" s="111">
        <f>CA179</f>
        <v>40628.01</v>
      </c>
      <c r="D259" s="117">
        <f t="shared" si="133"/>
        <v>6</v>
      </c>
      <c r="E259" s="111">
        <f t="shared" si="125"/>
        <v>40633</v>
      </c>
      <c r="F259">
        <f>VLOOKUP(C259,F72:G79,2,TRUE)</f>
        <v>12910</v>
      </c>
      <c r="G259">
        <f>VLOOKUP(C259,F82:G89,2,TRUE)</f>
        <v>12910</v>
      </c>
      <c r="H259">
        <f>VLOOKUP(C259,AM65:AO69,3,TRUE)</f>
        <v>29.96</v>
      </c>
      <c r="I259" s="318">
        <f>IF(C259&lt;E137,IF(C259&lt;AO72,AO70,AN70),IF(C259&lt;AO72,AO71,AN71))</f>
        <v>10</v>
      </c>
      <c r="J259">
        <f t="shared" si="126"/>
        <v>10</v>
      </c>
      <c r="K259">
        <f>VLOOKUP(MONTH(C259),M126:N137,2,TRUE)</f>
        <v>31</v>
      </c>
      <c r="N259">
        <f t="shared" si="130"/>
        <v>2499</v>
      </c>
      <c r="O259">
        <f t="shared" si="127"/>
        <v>2499</v>
      </c>
      <c r="P259">
        <f t="shared" si="128"/>
        <v>749</v>
      </c>
      <c r="Q259">
        <f t="shared" si="131"/>
        <v>250</v>
      </c>
      <c r="R259">
        <f t="shared" si="129"/>
        <v>749</v>
      </c>
      <c r="S259">
        <f t="shared" si="132"/>
        <v>250</v>
      </c>
      <c r="T259">
        <f>ROUND(E35*D259/K259,0)</f>
        <v>0</v>
      </c>
      <c r="U259">
        <f>ROUND(E36*D259/K259,0)</f>
        <v>0</v>
      </c>
      <c r="W259" s="111">
        <f t="shared" si="134"/>
        <v>40628.01</v>
      </c>
      <c r="X259" s="2">
        <f t="shared" si="135"/>
        <v>40695</v>
      </c>
      <c r="Y259">
        <v>15</v>
      </c>
      <c r="Z259">
        <f>VLOOKUP(C259,BILL!D19:N40,11,TRUE)</f>
        <v>0</v>
      </c>
      <c r="BJ259" s="111">
        <v>40955</v>
      </c>
      <c r="BK259" s="2">
        <v>39836</v>
      </c>
    </row>
    <row r="260" spans="2:63" ht="12.75" hidden="1">
      <c r="B260">
        <v>16</v>
      </c>
      <c r="C260" s="111">
        <f>CB180</f>
        <v>40634</v>
      </c>
      <c r="D260" s="117">
        <f t="shared" si="133"/>
        <v>30</v>
      </c>
      <c r="E260" s="111">
        <f t="shared" si="125"/>
        <v>40663</v>
      </c>
      <c r="F260">
        <f>VLOOKUP(C260,F72:G79,2,TRUE)</f>
        <v>12910</v>
      </c>
      <c r="G260">
        <f>VLOOKUP(C260,F82:G89,2,TRUE)</f>
        <v>12910</v>
      </c>
      <c r="H260">
        <f>VLOOKUP(C260,AM65:AO69,3,TRUE)</f>
        <v>29.96</v>
      </c>
      <c r="I260" s="318">
        <f>IF(C260&lt;E137,IF(C260&lt;AO72,AO70,AN70),IF(C260&lt;AO72,AO71,AN71))</f>
        <v>12</v>
      </c>
      <c r="J260">
        <f t="shared" si="126"/>
        <v>12</v>
      </c>
      <c r="K260">
        <f>VLOOKUP(MONTH(C260),M126:N137,2,TRUE)</f>
        <v>30</v>
      </c>
      <c r="N260">
        <f t="shared" si="130"/>
        <v>12910</v>
      </c>
      <c r="O260">
        <f t="shared" si="127"/>
        <v>12910</v>
      </c>
      <c r="P260">
        <f t="shared" si="128"/>
        <v>3868</v>
      </c>
      <c r="Q260">
        <f t="shared" si="131"/>
        <v>1549</v>
      </c>
      <c r="R260">
        <f t="shared" si="129"/>
        <v>3868</v>
      </c>
      <c r="S260">
        <f t="shared" si="132"/>
        <v>1549</v>
      </c>
      <c r="T260">
        <f>ROUND(E35*D260/K260,0)</f>
        <v>0</v>
      </c>
      <c r="U260">
        <f>ROUND(E36*D260/K260,0)</f>
        <v>0</v>
      </c>
      <c r="W260" s="111">
        <f t="shared" si="134"/>
        <v>40634</v>
      </c>
      <c r="X260" s="2">
        <f t="shared" si="135"/>
        <v>40695</v>
      </c>
      <c r="Y260">
        <v>16</v>
      </c>
      <c r="Z260">
        <f>VLOOKUP(C260,BILL!D20:N41,11,TRUE)</f>
        <v>0</v>
      </c>
      <c r="BJ260" s="111">
        <v>40956</v>
      </c>
      <c r="BK260" s="2">
        <v>39837</v>
      </c>
    </row>
    <row r="261" spans="2:63" ht="12.75" hidden="1">
      <c r="B261">
        <v>17</v>
      </c>
      <c r="C261" s="111">
        <f>CC181</f>
        <v>40664</v>
      </c>
      <c r="D261" s="117">
        <f t="shared" si="133"/>
        <v>31</v>
      </c>
      <c r="E261" s="111">
        <f t="shared" si="125"/>
        <v>40694</v>
      </c>
      <c r="F261">
        <f>VLOOKUP(C261,F72:G79,2,TRUE)</f>
        <v>12910</v>
      </c>
      <c r="G261">
        <f>VLOOKUP(C261,F82:G89,2,TRUE)</f>
        <v>12910</v>
      </c>
      <c r="H261">
        <f>VLOOKUP(C261,AM65:AO69,3,TRUE)</f>
        <v>29.96</v>
      </c>
      <c r="I261" s="318">
        <f>IF(C261&lt;E137,IF(C261&lt;AO72,AO70,AN70),IF(C261&lt;AO72,AO71,AN71))</f>
        <v>12</v>
      </c>
      <c r="J261">
        <f t="shared" si="126"/>
        <v>12</v>
      </c>
      <c r="K261">
        <f>VLOOKUP(MONTH(C261),M126:N137,2,TRUE)</f>
        <v>31</v>
      </c>
      <c r="N261">
        <f t="shared" si="130"/>
        <v>12910</v>
      </c>
      <c r="O261">
        <f t="shared" si="127"/>
        <v>12910</v>
      </c>
      <c r="P261">
        <f t="shared" si="128"/>
        <v>3868</v>
      </c>
      <c r="Q261">
        <f t="shared" si="131"/>
        <v>1549</v>
      </c>
      <c r="R261">
        <f t="shared" si="129"/>
        <v>3868</v>
      </c>
      <c r="S261">
        <f t="shared" si="132"/>
        <v>1549</v>
      </c>
      <c r="T261">
        <f>ROUND(E35*D261/K261,0)</f>
        <v>0</v>
      </c>
      <c r="U261">
        <f>ROUND(E36*D261/K261,0)</f>
        <v>0</v>
      </c>
      <c r="W261" s="111">
        <f t="shared" si="134"/>
        <v>40664</v>
      </c>
      <c r="X261" s="2">
        <f t="shared" si="135"/>
        <v>40695</v>
      </c>
      <c r="Y261">
        <v>17</v>
      </c>
      <c r="Z261">
        <f>VLOOKUP(C261,BILL!D21:N42,11,TRUE)</f>
        <v>0</v>
      </c>
      <c r="BJ261" s="111">
        <v>40957</v>
      </c>
      <c r="BK261" s="2">
        <v>39838</v>
      </c>
    </row>
    <row r="262" spans="2:63" ht="12.75" hidden="1">
      <c r="B262">
        <v>18</v>
      </c>
      <c r="C262" s="111">
        <f>CD182</f>
        <v>40695</v>
      </c>
      <c r="D262" s="117">
        <f t="shared" si="133"/>
        <v>30</v>
      </c>
      <c r="E262" s="111">
        <f t="shared" si="125"/>
        <v>40724</v>
      </c>
      <c r="F262">
        <f>VLOOKUP(C262,F72:G79,2,TRUE)</f>
        <v>12910</v>
      </c>
      <c r="G262">
        <f>VLOOKUP(C262,F82:G89,2,TRUE)</f>
        <v>12910</v>
      </c>
      <c r="H262">
        <f>VLOOKUP(C262,AM65:AO69,3,TRUE)</f>
        <v>29.96</v>
      </c>
      <c r="I262" s="318">
        <f>IF(C262&lt;E137,IF(C262&lt;AO72,AO70,AN70),IF(C262&lt;AO72,AO71,AN71))</f>
        <v>12</v>
      </c>
      <c r="J262">
        <f t="shared" si="126"/>
        <v>12</v>
      </c>
      <c r="K262">
        <f>VLOOKUP(MONTH(C262),M126:N137,2,TRUE)</f>
        <v>30</v>
      </c>
      <c r="N262">
        <f t="shared" si="130"/>
        <v>12910</v>
      </c>
      <c r="O262">
        <f t="shared" si="127"/>
        <v>12910</v>
      </c>
      <c r="P262">
        <f t="shared" si="128"/>
        <v>3868</v>
      </c>
      <c r="Q262">
        <f t="shared" si="131"/>
        <v>1549</v>
      </c>
      <c r="R262">
        <f t="shared" si="129"/>
        <v>3868</v>
      </c>
      <c r="S262">
        <f t="shared" si="132"/>
        <v>1549</v>
      </c>
      <c r="T262">
        <f>ROUND(E35*D262/K262,0)</f>
        <v>0</v>
      </c>
      <c r="U262">
        <f>ROUND(E36*D262/K262,0)</f>
        <v>0</v>
      </c>
      <c r="W262" s="111">
        <f t="shared" si="134"/>
        <v>40695</v>
      </c>
      <c r="X262" s="2">
        <f t="shared" si="135"/>
        <v>40695</v>
      </c>
      <c r="Y262">
        <v>18</v>
      </c>
      <c r="Z262">
        <f>VLOOKUP(C262,BILL!D22:N43,11,TRUE)</f>
        <v>150</v>
      </c>
      <c r="BJ262" s="111">
        <v>40958</v>
      </c>
      <c r="BK262" s="2">
        <v>39839</v>
      </c>
    </row>
    <row r="263" spans="2:63" ht="12.75" hidden="1">
      <c r="B263">
        <v>19</v>
      </c>
      <c r="C263" s="111">
        <f>CE183</f>
        <v>40725</v>
      </c>
      <c r="D263" s="117">
        <f t="shared" si="133"/>
        <v>31</v>
      </c>
      <c r="E263" s="111">
        <f t="shared" si="125"/>
        <v>40755</v>
      </c>
      <c r="F263">
        <f>VLOOKUP(C263,F72:G79,2,TRUE)</f>
        <v>12910</v>
      </c>
      <c r="G263">
        <f>VLOOKUP(C263,F82:G89,2,TRUE)</f>
        <v>12910</v>
      </c>
      <c r="H263">
        <f>VLOOKUP(C263,AM65:AO69,3,TRUE)</f>
        <v>29.96</v>
      </c>
      <c r="I263" s="318">
        <f>IF(C263&lt;E137,IF(C263&lt;AO72,AO70,AN70),IF(C263&lt;AO72,AO71,AN71))</f>
        <v>12</v>
      </c>
      <c r="J263">
        <f t="shared" si="126"/>
        <v>12</v>
      </c>
      <c r="K263">
        <f>VLOOKUP(MONTH(C263),M126:N137,2,TRUE)</f>
        <v>31</v>
      </c>
      <c r="N263">
        <f t="shared" si="130"/>
        <v>12910</v>
      </c>
      <c r="O263">
        <f t="shared" si="127"/>
        <v>12910</v>
      </c>
      <c r="P263">
        <f t="shared" si="128"/>
        <v>3868</v>
      </c>
      <c r="Q263">
        <f t="shared" si="131"/>
        <v>1549</v>
      </c>
      <c r="R263">
        <f t="shared" si="129"/>
        <v>3868</v>
      </c>
      <c r="S263">
        <f t="shared" si="132"/>
        <v>1549</v>
      </c>
      <c r="T263">
        <f>ROUND(E35*D263/K263,0)</f>
        <v>0</v>
      </c>
      <c r="U263">
        <f>ROUND(E36*D263/K263,0)</f>
        <v>0</v>
      </c>
      <c r="W263" s="111">
        <f t="shared" si="134"/>
        <v>40725</v>
      </c>
      <c r="X263" s="2">
        <f t="shared" si="135"/>
        <v>40695</v>
      </c>
      <c r="Y263">
        <v>19</v>
      </c>
      <c r="Z263">
        <f>VLOOKUP(C263,BILL!D23:N44,11,TRUE)</f>
        <v>150</v>
      </c>
      <c r="BJ263" s="111">
        <v>40959</v>
      </c>
      <c r="BK263" s="2">
        <v>39840</v>
      </c>
    </row>
    <row r="264" spans="2:63" ht="12.75" hidden="1">
      <c r="B264">
        <v>20</v>
      </c>
      <c r="C264" s="111">
        <f>CF184</f>
        <v>40756</v>
      </c>
      <c r="D264" s="117">
        <f t="shared" si="133"/>
        <v>31</v>
      </c>
      <c r="E264" s="111">
        <f t="shared" si="125"/>
        <v>40786</v>
      </c>
      <c r="F264">
        <f>VLOOKUP(C264,F72:G79,2,TRUE)</f>
        <v>12910</v>
      </c>
      <c r="G264">
        <f>VLOOKUP(C264,F82:G89,2,TRUE)</f>
        <v>12910</v>
      </c>
      <c r="H264">
        <f>VLOOKUP(C264,AM65:AO69,3,TRUE)</f>
        <v>29.96</v>
      </c>
      <c r="I264" s="318">
        <f>IF(C264&lt;E137,IF(C264&lt;AO72,AO70,AN70),IF(C264&lt;AO72,AO71,AN71))</f>
        <v>12</v>
      </c>
      <c r="J264">
        <f t="shared" si="126"/>
        <v>12</v>
      </c>
      <c r="K264">
        <f>VLOOKUP(MONTH(C264),M126:N137,2,TRUE)</f>
        <v>31</v>
      </c>
      <c r="N264">
        <f t="shared" si="130"/>
        <v>12910</v>
      </c>
      <c r="O264">
        <f t="shared" si="127"/>
        <v>12910</v>
      </c>
      <c r="P264">
        <f t="shared" si="128"/>
        <v>3868</v>
      </c>
      <c r="Q264">
        <f t="shared" si="131"/>
        <v>1549</v>
      </c>
      <c r="R264">
        <f t="shared" si="129"/>
        <v>3868</v>
      </c>
      <c r="S264">
        <f t="shared" si="132"/>
        <v>1549</v>
      </c>
      <c r="T264">
        <f>ROUND(E35*D264/K264,0)</f>
        <v>0</v>
      </c>
      <c r="U264">
        <f>ROUND(E36*D264/K264,0)</f>
        <v>0</v>
      </c>
      <c r="W264" s="111">
        <f t="shared" si="134"/>
        <v>40756</v>
      </c>
      <c r="X264" s="2">
        <f t="shared" si="135"/>
        <v>40695</v>
      </c>
      <c r="Y264">
        <v>20</v>
      </c>
      <c r="Z264">
        <f>VLOOKUP(C264,BILL!D24:N45,11,TRUE)</f>
        <v>150</v>
      </c>
      <c r="BJ264" s="111">
        <v>40960</v>
      </c>
      <c r="BK264" s="2">
        <v>39841</v>
      </c>
    </row>
    <row r="265" spans="2:63" ht="12.75" hidden="1">
      <c r="B265">
        <v>21</v>
      </c>
      <c r="C265" s="111">
        <f>CG185</f>
        <v>40787</v>
      </c>
      <c r="D265" s="117">
        <f t="shared" si="133"/>
        <v>30</v>
      </c>
      <c r="E265" s="111">
        <f t="shared" si="125"/>
        <v>40816</v>
      </c>
      <c r="F265">
        <f>VLOOKUP(C265,F72:G79,2,TRUE)</f>
        <v>12910</v>
      </c>
      <c r="G265">
        <f>VLOOKUP(C265,F82:G89,2,TRUE)</f>
        <v>12910</v>
      </c>
      <c r="H265">
        <f>VLOOKUP(C265,AM65:AO69,3,TRUE)</f>
        <v>29.96</v>
      </c>
      <c r="I265" s="318">
        <f>IF(C265&lt;E137,IF(C265&lt;AO72,AO70,AN70),IF(C265&lt;AO72,AO71,AN71))</f>
        <v>12</v>
      </c>
      <c r="J265">
        <f t="shared" si="126"/>
        <v>12</v>
      </c>
      <c r="K265">
        <f>VLOOKUP(MONTH(C265),M126:N137,2,TRUE)</f>
        <v>30</v>
      </c>
      <c r="N265">
        <f t="shared" si="130"/>
        <v>12910</v>
      </c>
      <c r="O265">
        <f t="shared" si="127"/>
        <v>12910</v>
      </c>
      <c r="P265">
        <f t="shared" si="128"/>
        <v>3868</v>
      </c>
      <c r="Q265">
        <f t="shared" si="131"/>
        <v>1549</v>
      </c>
      <c r="R265">
        <f t="shared" si="129"/>
        <v>3868</v>
      </c>
      <c r="S265">
        <f t="shared" si="132"/>
        <v>1549</v>
      </c>
      <c r="T265">
        <f>ROUND(E35*D265/K265,0)</f>
        <v>0</v>
      </c>
      <c r="U265">
        <f>ROUND(E36*D265/K265,0)</f>
        <v>0</v>
      </c>
      <c r="W265" s="111">
        <f t="shared" si="134"/>
        <v>40787</v>
      </c>
      <c r="X265" s="2">
        <f t="shared" si="135"/>
        <v>40695</v>
      </c>
      <c r="Y265">
        <v>21</v>
      </c>
      <c r="Z265">
        <f>VLOOKUP(C265,BILL!D25:N46,11,TRUE)</f>
        <v>0</v>
      </c>
      <c r="BJ265" s="111">
        <v>40961</v>
      </c>
      <c r="BK265" s="2">
        <v>39842</v>
      </c>
    </row>
    <row r="266" spans="2:63" ht="12.75" hidden="1">
      <c r="B266">
        <v>22</v>
      </c>
      <c r="C266" s="111">
        <f>CH186</f>
        <v>40817</v>
      </c>
      <c r="D266" s="117">
        <f t="shared" si="133"/>
        <v>1</v>
      </c>
      <c r="E266" s="111">
        <f t="shared" si="125"/>
        <v>40817.01</v>
      </c>
      <c r="F266">
        <f>VLOOKUP(C266,F72:G79,2,TRUE)</f>
        <v>13660</v>
      </c>
      <c r="G266">
        <f>VLOOKUP(C266,F82:G89,2,TRUE)</f>
        <v>13660</v>
      </c>
      <c r="H266">
        <f>VLOOKUP(C266,AM65:AO69,3,TRUE)</f>
        <v>29.96</v>
      </c>
      <c r="I266" s="318">
        <f>IF(C266&lt;E137,IF(C266&lt;AO72,AO70,AN70),IF(C266&lt;AO72,AO71,AN71))</f>
        <v>12</v>
      </c>
      <c r="J266">
        <f t="shared" si="126"/>
        <v>12</v>
      </c>
      <c r="K266">
        <f>VLOOKUP(MONTH(C266),M126:N137,2,TRUE)</f>
        <v>31</v>
      </c>
      <c r="N266">
        <f t="shared" si="130"/>
        <v>441</v>
      </c>
      <c r="O266">
        <f t="shared" si="127"/>
        <v>441</v>
      </c>
      <c r="P266">
        <f t="shared" si="128"/>
        <v>132</v>
      </c>
      <c r="Q266">
        <f t="shared" si="131"/>
        <v>53</v>
      </c>
      <c r="R266">
        <f t="shared" si="129"/>
        <v>132</v>
      </c>
      <c r="S266">
        <f t="shared" si="132"/>
        <v>53</v>
      </c>
      <c r="T266">
        <f>ROUND(E35*D266/K266,0)</f>
        <v>0</v>
      </c>
      <c r="U266">
        <f>ROUND(E36*D266/K266,0)</f>
        <v>0</v>
      </c>
      <c r="W266" s="111">
        <f t="shared" si="134"/>
        <v>40817</v>
      </c>
      <c r="X266" s="2">
        <f t="shared" si="135"/>
        <v>40695</v>
      </c>
      <c r="Y266">
        <v>22</v>
      </c>
      <c r="Z266">
        <f>VLOOKUP(C266,BILL!D26:N47,11,TRUE)</f>
        <v>0</v>
      </c>
      <c r="BJ266" s="111">
        <v>40962</v>
      </c>
      <c r="BK266" s="2">
        <v>39843</v>
      </c>
    </row>
    <row r="267" spans="2:63" ht="12.75" hidden="1">
      <c r="B267">
        <v>23</v>
      </c>
      <c r="C267" s="111">
        <f>CI187</f>
        <v>0</v>
      </c>
      <c r="D267" s="117">
        <f t="shared" si="133"/>
        <v>0</v>
      </c>
      <c r="E267" s="111">
        <f t="shared" si="125"/>
        <v>40817.01</v>
      </c>
      <c r="F267" t="e">
        <f>VLOOKUP(C267,F72:G79,2,TRUE)</f>
        <v>#N/A</v>
      </c>
      <c r="G267" t="e">
        <f>VLOOKUP(C267,F82:G89,2,TRUE)</f>
        <v>#N/A</v>
      </c>
      <c r="H267">
        <f>VLOOKUP(C267,AM65:AO69,3,TRUE)</f>
        <v>0</v>
      </c>
      <c r="I267" s="318">
        <f>IF(C267&lt;E137,IF(C267&lt;AO72,AO70,AN70),IF(C267&lt;AO72,AO71,AN71))</f>
        <v>10</v>
      </c>
      <c r="J267">
        <f t="shared" si="126"/>
        <v>0</v>
      </c>
      <c r="K267">
        <f>VLOOKUP(MONTH(C267),M126:N137,2,TRUE)</f>
        <v>31</v>
      </c>
      <c r="N267" t="e">
        <f t="shared" si="130"/>
        <v>#N/A</v>
      </c>
      <c r="O267" t="e">
        <f t="shared" si="127"/>
        <v>#N/A</v>
      </c>
      <c r="P267" t="e">
        <f t="shared" si="128"/>
        <v>#N/A</v>
      </c>
      <c r="Q267" t="e">
        <f t="shared" si="131"/>
        <v>#N/A</v>
      </c>
      <c r="R267" t="e">
        <f t="shared" si="129"/>
        <v>#N/A</v>
      </c>
      <c r="S267" t="e">
        <f t="shared" si="132"/>
        <v>#N/A</v>
      </c>
      <c r="T267">
        <f>ROUND(E35*D267/K267,0)</f>
        <v>0</v>
      </c>
      <c r="U267">
        <f>ROUND(E36*D267/K267,0)</f>
        <v>0</v>
      </c>
      <c r="W267" s="111">
        <f t="shared" si="134"/>
        <v>40818</v>
      </c>
      <c r="X267" s="2">
        <f t="shared" si="135"/>
        <v>40695</v>
      </c>
      <c r="Y267">
        <v>23</v>
      </c>
      <c r="Z267">
        <f>VLOOKUP(C267,BILL!D27:N48,11,TRUE)</f>
        <v>0</v>
      </c>
      <c r="BJ267" s="111">
        <v>40963</v>
      </c>
      <c r="BK267" s="2">
        <v>39844</v>
      </c>
    </row>
    <row r="268" spans="2:63" ht="12.75" hidden="1">
      <c r="B268">
        <v>24</v>
      </c>
      <c r="C268" s="111">
        <f>CJ188</f>
        <v>0</v>
      </c>
      <c r="D268" s="117">
        <f t="shared" si="133"/>
        <v>0</v>
      </c>
      <c r="E268" s="111">
        <f t="shared" si="125"/>
        <v>40817.01</v>
      </c>
      <c r="F268" t="e">
        <f>VLOOKUP(C268,F72:G79,2,TRUE)</f>
        <v>#N/A</v>
      </c>
      <c r="G268" t="e">
        <f>VLOOKUP(C268,F82:G89,2,TRUE)</f>
        <v>#N/A</v>
      </c>
      <c r="H268">
        <f>VLOOKUP(C268,AM65:AO69,3,TRUE)</f>
        <v>0</v>
      </c>
      <c r="I268" s="318">
        <f>IF(C268&lt;E137,IF(C268&lt;AO72,AO70,AN70),IF(C268&lt;AO72,AO71,AN71))</f>
        <v>10</v>
      </c>
      <c r="J268">
        <f t="shared" si="126"/>
        <v>0</v>
      </c>
      <c r="K268">
        <f>VLOOKUP(MONTH(C268),M126:N137,2,TRUE)</f>
        <v>31</v>
      </c>
      <c r="N268" t="e">
        <f t="shared" si="130"/>
        <v>#N/A</v>
      </c>
      <c r="O268" t="e">
        <f t="shared" si="127"/>
        <v>#N/A</v>
      </c>
      <c r="P268" t="e">
        <f t="shared" si="128"/>
        <v>#N/A</v>
      </c>
      <c r="Q268" t="e">
        <f t="shared" si="131"/>
        <v>#N/A</v>
      </c>
      <c r="R268" t="e">
        <f t="shared" si="129"/>
        <v>#N/A</v>
      </c>
      <c r="S268" t="e">
        <f t="shared" si="132"/>
        <v>#N/A</v>
      </c>
      <c r="T268">
        <f>ROUND(E35*D268/K268,0)</f>
        <v>0</v>
      </c>
      <c r="U268">
        <f>ROUND(E36*D268/K268,0)</f>
        <v>0</v>
      </c>
      <c r="W268" s="111">
        <f t="shared" si="134"/>
        <v>40819</v>
      </c>
      <c r="X268" s="2">
        <f t="shared" si="135"/>
        <v>40695</v>
      </c>
      <c r="Y268">
        <v>24</v>
      </c>
      <c r="Z268" t="e">
        <f>VLOOKUP(C268,BILL!D28:N49,11,TRUE)</f>
        <v>#N/A</v>
      </c>
      <c r="BJ268" s="111">
        <v>40964</v>
      </c>
      <c r="BK268" s="2">
        <v>39845</v>
      </c>
    </row>
    <row r="269" spans="2:63" ht="12.75" hidden="1">
      <c r="B269">
        <v>25</v>
      </c>
      <c r="C269" s="111">
        <f>CK189</f>
        <v>0</v>
      </c>
      <c r="D269" s="117">
        <f t="shared" si="133"/>
        <v>0</v>
      </c>
      <c r="E269" s="111">
        <f t="shared" si="125"/>
        <v>40817.01</v>
      </c>
      <c r="F269" t="e">
        <f>VLOOKUP(C269,F72:G79,2,TRUE)</f>
        <v>#N/A</v>
      </c>
      <c r="G269" t="e">
        <f>VLOOKUP(C269,F82:G89,2,TRUE)</f>
        <v>#N/A</v>
      </c>
      <c r="H269">
        <f>VLOOKUP(C269,AM65:AO69,3,TRUE)</f>
        <v>0</v>
      </c>
      <c r="I269" s="318">
        <f>IF(C269&lt;E137,IF(C269&lt;AO72,AO70,AN70),IF(C269&lt;AO72,AO71,AN71))</f>
        <v>10</v>
      </c>
      <c r="J269">
        <f t="shared" si="126"/>
        <v>0</v>
      </c>
      <c r="K269">
        <f>VLOOKUP(MONTH(C269),M126:N137,2,TRUE)</f>
        <v>31</v>
      </c>
      <c r="N269" t="e">
        <f t="shared" si="130"/>
        <v>#N/A</v>
      </c>
      <c r="O269" t="e">
        <f t="shared" si="127"/>
        <v>#N/A</v>
      </c>
      <c r="P269" t="e">
        <f t="shared" si="128"/>
        <v>#N/A</v>
      </c>
      <c r="Q269" t="e">
        <f t="shared" si="131"/>
        <v>#N/A</v>
      </c>
      <c r="R269" t="e">
        <f t="shared" si="129"/>
        <v>#N/A</v>
      </c>
      <c r="S269" t="e">
        <f t="shared" si="132"/>
        <v>#N/A</v>
      </c>
      <c r="T269">
        <f>ROUND(E35*D269/K269,0)</f>
        <v>0</v>
      </c>
      <c r="U269">
        <f>ROUND(E36*D269/K269,0)</f>
        <v>0</v>
      </c>
      <c r="W269" s="111">
        <f t="shared" si="134"/>
        <v>40820</v>
      </c>
      <c r="X269" s="2">
        <f t="shared" si="135"/>
        <v>40695</v>
      </c>
      <c r="Y269">
        <v>25</v>
      </c>
      <c r="Z269" t="e">
        <f>VLOOKUP(C269,BILL!D29:N50,11,TRUE)</f>
        <v>#N/A</v>
      </c>
      <c r="BJ269" s="111">
        <v>40965</v>
      </c>
      <c r="BK269" s="2">
        <v>39846</v>
      </c>
    </row>
    <row r="270" spans="2:63" ht="12.75" hidden="1">
      <c r="B270">
        <v>26</v>
      </c>
      <c r="C270" s="111">
        <f>CL190</f>
        <v>0</v>
      </c>
      <c r="D270" s="117">
        <f t="shared" si="133"/>
        <v>0</v>
      </c>
      <c r="E270" s="111">
        <f t="shared" si="125"/>
        <v>40817.01</v>
      </c>
      <c r="F270" t="e">
        <f>VLOOKUP(C270,F72:G79,2,TRUE)</f>
        <v>#N/A</v>
      </c>
      <c r="G270" t="e">
        <f>VLOOKUP(C270,F82:G89,2,TRUE)</f>
        <v>#N/A</v>
      </c>
      <c r="H270">
        <f>VLOOKUP(C270,AM65:AO69,3,TRUE)</f>
        <v>0</v>
      </c>
      <c r="I270" s="318">
        <f>IF(C270&lt;E137,IF(C270&lt;AO72,AO70,AN70),IF(C270&lt;AO72,AO71,AN71))</f>
        <v>10</v>
      </c>
      <c r="J270">
        <f t="shared" si="126"/>
        <v>0</v>
      </c>
      <c r="K270">
        <f>VLOOKUP(MONTH(C270),M126:N137,2,TRUE)</f>
        <v>31</v>
      </c>
      <c r="N270" t="e">
        <f t="shared" si="130"/>
        <v>#N/A</v>
      </c>
      <c r="O270" t="e">
        <f t="shared" si="127"/>
        <v>#N/A</v>
      </c>
      <c r="P270" t="e">
        <f t="shared" si="128"/>
        <v>#N/A</v>
      </c>
      <c r="Q270" t="e">
        <f t="shared" si="131"/>
        <v>#N/A</v>
      </c>
      <c r="R270" t="e">
        <f t="shared" si="129"/>
        <v>#N/A</v>
      </c>
      <c r="S270" t="e">
        <f t="shared" si="132"/>
        <v>#N/A</v>
      </c>
      <c r="T270">
        <f>ROUND(E35*D270/K270,0)</f>
        <v>0</v>
      </c>
      <c r="U270">
        <f>ROUND(E36*D270/K270,0)</f>
        <v>0</v>
      </c>
      <c r="W270" s="111">
        <f t="shared" si="134"/>
        <v>40821</v>
      </c>
      <c r="X270" s="2">
        <f t="shared" si="135"/>
        <v>40695</v>
      </c>
      <c r="Y270">
        <v>26</v>
      </c>
      <c r="Z270" t="e">
        <f>VLOOKUP(C270,BILL!D30:N51,11,TRUE)</f>
        <v>#N/A</v>
      </c>
      <c r="BJ270" s="111">
        <v>40966</v>
      </c>
      <c r="BK270" s="2">
        <v>39847</v>
      </c>
    </row>
    <row r="271" spans="2:63" ht="12.75" hidden="1">
      <c r="B271">
        <v>27</v>
      </c>
      <c r="C271" s="111">
        <f>CM191</f>
        <v>0</v>
      </c>
      <c r="D271" s="117">
        <f t="shared" si="133"/>
        <v>0</v>
      </c>
      <c r="E271" s="111">
        <f t="shared" si="125"/>
        <v>40817.01</v>
      </c>
      <c r="F271" t="e">
        <f>VLOOKUP(C271,F72:G79,2,TRUE)</f>
        <v>#N/A</v>
      </c>
      <c r="G271" t="e">
        <f>VLOOKUP(C271,F82:G89,2,TRUE)</f>
        <v>#N/A</v>
      </c>
      <c r="H271">
        <f>VLOOKUP(C271,AM65:AO69,3,TRUE)</f>
        <v>0</v>
      </c>
      <c r="I271" s="318">
        <f>IF(C271&lt;E137,IF(C271&lt;AO72,AO70,AN70),IF(C271&lt;AO72,AO71,AN71))</f>
        <v>10</v>
      </c>
      <c r="J271">
        <f t="shared" si="126"/>
        <v>0</v>
      </c>
      <c r="K271">
        <f>VLOOKUP(MONTH(C271),M126:N137,2,TRUE)</f>
        <v>31</v>
      </c>
      <c r="N271" t="e">
        <f t="shared" si="130"/>
        <v>#N/A</v>
      </c>
      <c r="O271" t="e">
        <f t="shared" si="127"/>
        <v>#N/A</v>
      </c>
      <c r="P271" t="e">
        <f t="shared" si="128"/>
        <v>#N/A</v>
      </c>
      <c r="Q271" t="e">
        <f t="shared" si="131"/>
        <v>#N/A</v>
      </c>
      <c r="R271" t="e">
        <f t="shared" si="129"/>
        <v>#N/A</v>
      </c>
      <c r="S271" t="e">
        <f t="shared" si="132"/>
        <v>#N/A</v>
      </c>
      <c r="T271">
        <f>ROUND(E35*D271/K271,0)</f>
        <v>0</v>
      </c>
      <c r="U271">
        <f>ROUND(E36*D271/K271,0)</f>
        <v>0</v>
      </c>
      <c r="W271" s="111">
        <f t="shared" si="134"/>
        <v>40822</v>
      </c>
      <c r="X271" s="2">
        <f t="shared" si="135"/>
        <v>40695</v>
      </c>
      <c r="Y271">
        <v>27</v>
      </c>
      <c r="Z271">
        <f>VLOOKUP(C271,BILL!D31:N52,11,TRUE)</f>
        <v>0</v>
      </c>
      <c r="BJ271" s="111">
        <v>40967</v>
      </c>
      <c r="BK271" s="2">
        <v>39848</v>
      </c>
    </row>
    <row r="272" spans="2:63" ht="12.75" hidden="1">
      <c r="B272">
        <v>28</v>
      </c>
      <c r="C272" s="111">
        <f>CN192</f>
        <v>0</v>
      </c>
      <c r="D272" s="117">
        <f t="shared" si="133"/>
        <v>0</v>
      </c>
      <c r="E272" s="111">
        <f t="shared" si="125"/>
        <v>40817.01</v>
      </c>
      <c r="F272" t="e">
        <f>VLOOKUP(C272,F72:G79,2,TRUE)</f>
        <v>#N/A</v>
      </c>
      <c r="G272" t="e">
        <f>VLOOKUP(C272,F82:G89,2,TRUE)</f>
        <v>#N/A</v>
      </c>
      <c r="H272">
        <f>VLOOKUP(C272,AM65:AO69,3,TRUE)</f>
        <v>0</v>
      </c>
      <c r="I272" s="318">
        <f>IF(C272&lt;E137,IF(C272&lt;AO72,AO70,AN70),IF(C272&lt;AO72,AO71,AN71))</f>
        <v>10</v>
      </c>
      <c r="J272">
        <f t="shared" si="126"/>
        <v>0</v>
      </c>
      <c r="K272">
        <f>VLOOKUP(MONTH(C272),M126:N137,2,TRUE)</f>
        <v>31</v>
      </c>
      <c r="N272" t="e">
        <f t="shared" si="130"/>
        <v>#N/A</v>
      </c>
      <c r="O272" t="e">
        <f t="shared" si="127"/>
        <v>#N/A</v>
      </c>
      <c r="P272" t="e">
        <f t="shared" si="128"/>
        <v>#N/A</v>
      </c>
      <c r="Q272" t="e">
        <f t="shared" si="131"/>
        <v>#N/A</v>
      </c>
      <c r="R272" t="e">
        <f t="shared" si="129"/>
        <v>#N/A</v>
      </c>
      <c r="S272" t="e">
        <f t="shared" si="132"/>
        <v>#N/A</v>
      </c>
      <c r="T272">
        <f>ROUND(E35*D272/K272,0)</f>
        <v>0</v>
      </c>
      <c r="U272">
        <f>ROUND(E36*D272/K272,0)</f>
        <v>0</v>
      </c>
      <c r="W272" s="111">
        <f t="shared" si="134"/>
        <v>40823</v>
      </c>
      <c r="X272" s="2">
        <f t="shared" si="135"/>
        <v>40695</v>
      </c>
      <c r="Y272">
        <v>28</v>
      </c>
      <c r="Z272">
        <f>VLOOKUP(C272,BILL!D32:N53,11,TRUE)</f>
        <v>0</v>
      </c>
      <c r="BJ272" s="111">
        <v>40968</v>
      </c>
      <c r="BK272" s="2">
        <v>39849</v>
      </c>
    </row>
    <row r="273" spans="2:63" ht="12.75" hidden="1">
      <c r="B273">
        <v>29</v>
      </c>
      <c r="C273" s="111">
        <f>CO193</f>
        <v>0</v>
      </c>
      <c r="D273" s="117">
        <f t="shared" si="133"/>
        <v>0</v>
      </c>
      <c r="E273" s="111">
        <f t="shared" si="125"/>
        <v>40817.01</v>
      </c>
      <c r="F273" t="e">
        <f>VLOOKUP(C273,F72:G79,2,TRUE)</f>
        <v>#N/A</v>
      </c>
      <c r="G273" t="e">
        <f>VLOOKUP(C273,F82:G89,2,TRUE)</f>
        <v>#N/A</v>
      </c>
      <c r="H273">
        <f>VLOOKUP(C273,AM65:AO69,3,TRUE)</f>
        <v>0</v>
      </c>
      <c r="I273" s="318">
        <f>IF(C273&lt;E137,IF(C273&lt;AO72,AO70,AN70),IF(C273&lt;AO72,AO71,AN71))</f>
        <v>10</v>
      </c>
      <c r="J273">
        <f t="shared" si="126"/>
        <v>0</v>
      </c>
      <c r="K273">
        <f>VLOOKUP(MONTH(C273),M126:N137,2,TRUE)</f>
        <v>31</v>
      </c>
      <c r="N273" t="e">
        <f t="shared" si="130"/>
        <v>#N/A</v>
      </c>
      <c r="O273" t="e">
        <f t="shared" si="127"/>
        <v>#N/A</v>
      </c>
      <c r="P273" t="e">
        <f t="shared" si="128"/>
        <v>#N/A</v>
      </c>
      <c r="Q273" t="e">
        <f t="shared" si="131"/>
        <v>#N/A</v>
      </c>
      <c r="R273" t="e">
        <f t="shared" si="129"/>
        <v>#N/A</v>
      </c>
      <c r="S273" t="e">
        <f t="shared" si="132"/>
        <v>#N/A</v>
      </c>
      <c r="T273">
        <f>ROUND(E35*D273/K273,0)</f>
        <v>0</v>
      </c>
      <c r="U273">
        <f>ROUND(E36*D273/K273,0)</f>
        <v>0</v>
      </c>
      <c r="W273" s="111">
        <f t="shared" si="134"/>
        <v>40824</v>
      </c>
      <c r="X273" s="2">
        <f t="shared" si="135"/>
        <v>40695</v>
      </c>
      <c r="Y273">
        <v>29</v>
      </c>
      <c r="Z273">
        <f>VLOOKUP(C273,BILL!D33:N54,11,TRUE)</f>
        <v>0</v>
      </c>
      <c r="BJ273" s="111">
        <v>40969</v>
      </c>
      <c r="BK273" s="2">
        <v>39850</v>
      </c>
    </row>
    <row r="274" spans="2:63" ht="12.75" hidden="1">
      <c r="B274">
        <v>30</v>
      </c>
      <c r="C274" s="111">
        <f>CP194</f>
        <v>0</v>
      </c>
      <c r="D274" s="117">
        <f t="shared" si="133"/>
        <v>0</v>
      </c>
      <c r="E274" s="111">
        <f t="shared" si="125"/>
        <v>40817.01</v>
      </c>
      <c r="F274" t="e">
        <f>VLOOKUP(C274,F72:G79,2,TRUE)</f>
        <v>#N/A</v>
      </c>
      <c r="G274" t="e">
        <f>VLOOKUP(C274,F82:G89,2,TRUE)</f>
        <v>#N/A</v>
      </c>
      <c r="H274">
        <f>VLOOKUP(C274,AM65:AO69,3,TRUE)</f>
        <v>0</v>
      </c>
      <c r="I274" s="318">
        <f>IF(C274&lt;E137,IF(C274&lt;AO72,AO70,AN70),IF(C274&lt;AO72,AO71,AN71))</f>
        <v>10</v>
      </c>
      <c r="J274">
        <f t="shared" si="126"/>
        <v>0</v>
      </c>
      <c r="K274">
        <f>VLOOKUP(MONTH(C274),M126:N137,2,TRUE)</f>
        <v>31</v>
      </c>
      <c r="N274" t="e">
        <f t="shared" si="130"/>
        <v>#N/A</v>
      </c>
      <c r="O274" t="e">
        <f t="shared" si="127"/>
        <v>#N/A</v>
      </c>
      <c r="P274" t="e">
        <f t="shared" si="128"/>
        <v>#N/A</v>
      </c>
      <c r="Q274" t="e">
        <f t="shared" si="131"/>
        <v>#N/A</v>
      </c>
      <c r="R274" t="e">
        <f t="shared" si="129"/>
        <v>#N/A</v>
      </c>
      <c r="S274" t="e">
        <f t="shared" si="132"/>
        <v>#N/A</v>
      </c>
      <c r="T274">
        <f>ROUND(E35*D274/K274,0)</f>
        <v>0</v>
      </c>
      <c r="U274">
        <f>ROUND(E36*D274/K274,0)</f>
        <v>0</v>
      </c>
      <c r="W274" s="111">
        <f t="shared" si="134"/>
        <v>40825</v>
      </c>
      <c r="X274" s="2">
        <f t="shared" si="135"/>
        <v>40695</v>
      </c>
      <c r="Y274">
        <v>30</v>
      </c>
      <c r="Z274">
        <f>VLOOKUP(C274,BILL!D34:N55,11,TRUE)</f>
        <v>0</v>
      </c>
      <c r="BJ274" s="111">
        <v>40970</v>
      </c>
      <c r="BK274" s="2">
        <v>39851</v>
      </c>
    </row>
    <row r="275" spans="2:63" ht="12.75" hidden="1">
      <c r="B275">
        <v>31</v>
      </c>
      <c r="C275" s="111">
        <f>CQ195</f>
        <v>0</v>
      </c>
      <c r="D275" s="117">
        <f t="shared" si="133"/>
        <v>0</v>
      </c>
      <c r="E275" s="111">
        <f t="shared" si="125"/>
        <v>40817.01</v>
      </c>
      <c r="F275" t="e">
        <f>VLOOKUP(C275,F72:G79,2,TRUE)</f>
        <v>#N/A</v>
      </c>
      <c r="G275" t="e">
        <f>VLOOKUP(C275,F82:G89,2,TRUE)</f>
        <v>#N/A</v>
      </c>
      <c r="H275">
        <f>VLOOKUP(C275,AM65:AO69,3,TRUE)</f>
        <v>0</v>
      </c>
      <c r="I275" s="318">
        <f>IF(C275&lt;E137,IF(C275&lt;AO72,AO70,AN70),IF(C275&lt;AO72,AO71,AN71))</f>
        <v>10</v>
      </c>
      <c r="J275">
        <f t="shared" si="126"/>
        <v>0</v>
      </c>
      <c r="K275">
        <f>VLOOKUP(MONTH(C275),M126:N137,2,TRUE)</f>
        <v>31</v>
      </c>
      <c r="N275" t="e">
        <f t="shared" si="130"/>
        <v>#N/A</v>
      </c>
      <c r="O275" t="e">
        <f t="shared" si="127"/>
        <v>#N/A</v>
      </c>
      <c r="P275" t="e">
        <f t="shared" si="128"/>
        <v>#N/A</v>
      </c>
      <c r="Q275" t="e">
        <f t="shared" si="131"/>
        <v>#N/A</v>
      </c>
      <c r="R275" t="e">
        <f t="shared" si="129"/>
        <v>#N/A</v>
      </c>
      <c r="S275" t="e">
        <f t="shared" si="132"/>
        <v>#N/A</v>
      </c>
      <c r="T275">
        <f>ROUND(E35*D275/K275,0)</f>
        <v>0</v>
      </c>
      <c r="U275">
        <f>ROUND(E36*D275/K275,0)</f>
        <v>0</v>
      </c>
      <c r="W275" s="111">
        <f t="shared" si="134"/>
        <v>40826</v>
      </c>
      <c r="X275" s="2">
        <f t="shared" si="135"/>
        <v>40695</v>
      </c>
      <c r="Y275">
        <v>31</v>
      </c>
      <c r="Z275">
        <f>VLOOKUP(C275,BILL!D35:N56,11,TRUE)</f>
        <v>0</v>
      </c>
      <c r="BJ275" s="111">
        <v>40971</v>
      </c>
      <c r="BK275" s="2">
        <v>39852</v>
      </c>
    </row>
    <row r="276" spans="3:63" ht="12.75" hidden="1">
      <c r="C276" s="111"/>
      <c r="D276" s="117"/>
      <c r="I276" s="318"/>
      <c r="X276" s="2"/>
      <c r="BJ276" s="111">
        <v>40972</v>
      </c>
      <c r="BK276" s="2">
        <v>39853</v>
      </c>
    </row>
    <row r="277" spans="24:63" ht="12.75" hidden="1">
      <c r="X277" s="2"/>
      <c r="BJ277" s="111">
        <v>40973</v>
      </c>
      <c r="BK277" s="2">
        <v>39854</v>
      </c>
    </row>
    <row r="278" spans="3:63" ht="12.75" hidden="1">
      <c r="C278" s="111">
        <f aca="true" t="shared" si="136" ref="C278:C298">IF(C245&lt;X245,C245,0)</f>
        <v>40210</v>
      </c>
      <c r="D278">
        <f>IF(C278=0,0,D245)</f>
        <v>28</v>
      </c>
      <c r="E278" s="111">
        <f>IF(C278=0,0,E245)</f>
        <v>40237</v>
      </c>
      <c r="F278" s="117">
        <f>IF(C278=0,0,F245)</f>
        <v>12190</v>
      </c>
      <c r="G278" s="117">
        <f>IF(C278=0,0,G245)</f>
        <v>12190</v>
      </c>
      <c r="H278" s="117">
        <f>IF(F278=0,0,H245)</f>
        <v>16.264</v>
      </c>
      <c r="I278" s="117">
        <f aca="true" t="shared" si="137" ref="I278:I298">IF(C278=0,0,I245)</f>
        <v>10</v>
      </c>
      <c r="J278" s="117">
        <f aca="true" t="shared" si="138" ref="J278:J298">IF(C278=0,0,J245)</f>
        <v>10</v>
      </c>
      <c r="K278" s="117">
        <f aca="true" t="shared" si="139" ref="K278:K298">IF(C278=0,0,K245)</f>
        <v>28</v>
      </c>
      <c r="L278" s="117">
        <f aca="true" t="shared" si="140" ref="L278:L298">IF(C278=0,0,L245)</f>
        <v>0</v>
      </c>
      <c r="M278" s="117">
        <f aca="true" t="shared" si="141" ref="M278:M298">IF(C278=0,0,M245)</f>
        <v>0</v>
      </c>
      <c r="N278" s="117">
        <f aca="true" t="shared" si="142" ref="N278:N298">IF(C278=0,0,N245)</f>
        <v>12190</v>
      </c>
      <c r="O278" s="117">
        <f aca="true" t="shared" si="143" ref="O278:O298">IF(C278=0,0,O245)</f>
        <v>12190</v>
      </c>
      <c r="P278">
        <f aca="true" t="shared" si="144" ref="P278:P298">IF(C278=0,0,P245)</f>
        <v>1983</v>
      </c>
      <c r="Q278">
        <f aca="true" t="shared" si="145" ref="Q278:Q298">IF(C278=0,0,Q245)</f>
        <v>1219</v>
      </c>
      <c r="R278">
        <f aca="true" t="shared" si="146" ref="R278:R298">IF(C278=0,0,R245)</f>
        <v>1983</v>
      </c>
      <c r="S278">
        <f aca="true" t="shared" si="147" ref="S278:S298">IF(C278=0,0,S245)</f>
        <v>1219</v>
      </c>
      <c r="T278">
        <f>IF(C278=0,0,T245)</f>
        <v>0</v>
      </c>
      <c r="U278">
        <f>IF(D278=0,0,U245)</f>
        <v>0</v>
      </c>
      <c r="BJ278" s="111">
        <v>40974</v>
      </c>
      <c r="BK278" s="2">
        <v>39855</v>
      </c>
    </row>
    <row r="279" spans="3:63" ht="12.75" hidden="1">
      <c r="C279" s="111">
        <f t="shared" si="136"/>
        <v>40238</v>
      </c>
      <c r="D279">
        <f aca="true" t="shared" si="148" ref="D279:D298">IF(C279=0,0,D246)</f>
        <v>31</v>
      </c>
      <c r="E279" s="111">
        <f aca="true" t="shared" si="149" ref="E279:E298">IF(C279=0,0,E246)</f>
        <v>40268</v>
      </c>
      <c r="F279" s="117">
        <f aca="true" t="shared" si="150" ref="F279:F298">IF(C279=0,0,F246)</f>
        <v>12190</v>
      </c>
      <c r="G279" s="117">
        <f aca="true" t="shared" si="151" ref="G279:G298">IF(C279=0,0,G246)</f>
        <v>12190</v>
      </c>
      <c r="H279" s="117">
        <f aca="true" t="shared" si="152" ref="H279:H298">IF(F279=0,0,H246)</f>
        <v>16.264</v>
      </c>
      <c r="I279" s="117">
        <f t="shared" si="137"/>
        <v>10</v>
      </c>
      <c r="J279" s="117">
        <f t="shared" si="138"/>
        <v>10</v>
      </c>
      <c r="K279" s="117">
        <f t="shared" si="139"/>
        <v>31</v>
      </c>
      <c r="L279" s="117">
        <f t="shared" si="140"/>
        <v>0</v>
      </c>
      <c r="M279" s="117">
        <f t="shared" si="141"/>
        <v>0</v>
      </c>
      <c r="N279" s="117">
        <f t="shared" si="142"/>
        <v>12190</v>
      </c>
      <c r="O279" s="117">
        <f t="shared" si="143"/>
        <v>12190</v>
      </c>
      <c r="P279">
        <f t="shared" si="144"/>
        <v>1983</v>
      </c>
      <c r="Q279">
        <f t="shared" si="145"/>
        <v>1219</v>
      </c>
      <c r="R279">
        <f t="shared" si="146"/>
        <v>1983</v>
      </c>
      <c r="S279">
        <f t="shared" si="147"/>
        <v>1219</v>
      </c>
      <c r="T279">
        <f aca="true" t="shared" si="153" ref="T279:T298">IF(C279=0,0,T246)</f>
        <v>0</v>
      </c>
      <c r="U279">
        <f aca="true" t="shared" si="154" ref="U279:U298">IF(D279=0,0,U246)</f>
        <v>0</v>
      </c>
      <c r="AH279">
        <v>1</v>
      </c>
      <c r="BJ279" s="111">
        <v>40975</v>
      </c>
      <c r="BK279" s="2">
        <v>39856</v>
      </c>
    </row>
    <row r="280" spans="3:63" ht="12.75" hidden="1">
      <c r="C280" s="111">
        <f t="shared" si="136"/>
        <v>40269</v>
      </c>
      <c r="D280">
        <f t="shared" si="148"/>
        <v>30</v>
      </c>
      <c r="E280" s="111">
        <f t="shared" si="149"/>
        <v>40298</v>
      </c>
      <c r="F280" s="117">
        <f t="shared" si="150"/>
        <v>12190</v>
      </c>
      <c r="G280" s="117">
        <f t="shared" si="151"/>
        <v>12190</v>
      </c>
      <c r="H280" s="117">
        <f t="shared" si="152"/>
        <v>16.264</v>
      </c>
      <c r="I280" s="117">
        <f t="shared" si="137"/>
        <v>10</v>
      </c>
      <c r="J280" s="117">
        <f t="shared" si="138"/>
        <v>10</v>
      </c>
      <c r="K280" s="117">
        <f t="shared" si="139"/>
        <v>30</v>
      </c>
      <c r="L280" s="117">
        <f t="shared" si="140"/>
        <v>0</v>
      </c>
      <c r="M280" s="117">
        <f t="shared" si="141"/>
        <v>0</v>
      </c>
      <c r="N280" s="117">
        <f t="shared" si="142"/>
        <v>12190</v>
      </c>
      <c r="O280" s="117">
        <f t="shared" si="143"/>
        <v>12190</v>
      </c>
      <c r="P280">
        <f t="shared" si="144"/>
        <v>1983</v>
      </c>
      <c r="Q280">
        <f t="shared" si="145"/>
        <v>1219</v>
      </c>
      <c r="R280">
        <f t="shared" si="146"/>
        <v>1983</v>
      </c>
      <c r="S280">
        <f t="shared" si="147"/>
        <v>1219</v>
      </c>
      <c r="T280">
        <f t="shared" si="153"/>
        <v>0</v>
      </c>
      <c r="U280">
        <f t="shared" si="154"/>
        <v>0</v>
      </c>
      <c r="AH280">
        <v>2</v>
      </c>
      <c r="BJ280" s="111">
        <v>40976</v>
      </c>
      <c r="BK280" s="2">
        <v>39857</v>
      </c>
    </row>
    <row r="281" spans="3:63" ht="12.75" hidden="1">
      <c r="C281" s="111">
        <f t="shared" si="136"/>
        <v>40299</v>
      </c>
      <c r="D281">
        <f t="shared" si="148"/>
        <v>31</v>
      </c>
      <c r="E281" s="111">
        <f t="shared" si="149"/>
        <v>40329</v>
      </c>
      <c r="F281" s="117">
        <f t="shared" si="150"/>
        <v>12190</v>
      </c>
      <c r="G281" s="117">
        <f t="shared" si="151"/>
        <v>12190</v>
      </c>
      <c r="H281" s="117">
        <f t="shared" si="152"/>
        <v>16.264</v>
      </c>
      <c r="I281" s="117">
        <f t="shared" si="137"/>
        <v>10</v>
      </c>
      <c r="J281" s="117">
        <f t="shared" si="138"/>
        <v>10</v>
      </c>
      <c r="K281" s="117">
        <f t="shared" si="139"/>
        <v>31</v>
      </c>
      <c r="L281" s="117">
        <f t="shared" si="140"/>
        <v>0</v>
      </c>
      <c r="M281" s="117">
        <f t="shared" si="141"/>
        <v>0</v>
      </c>
      <c r="N281" s="117">
        <f t="shared" si="142"/>
        <v>12190</v>
      </c>
      <c r="O281" s="117">
        <f t="shared" si="143"/>
        <v>12190</v>
      </c>
      <c r="P281">
        <f t="shared" si="144"/>
        <v>1983</v>
      </c>
      <c r="Q281">
        <f t="shared" si="145"/>
        <v>1219</v>
      </c>
      <c r="R281">
        <f t="shared" si="146"/>
        <v>1983</v>
      </c>
      <c r="S281">
        <f t="shared" si="147"/>
        <v>1219</v>
      </c>
      <c r="T281">
        <f t="shared" si="153"/>
        <v>0</v>
      </c>
      <c r="U281">
        <f t="shared" si="154"/>
        <v>0</v>
      </c>
      <c r="AH281">
        <v>3</v>
      </c>
      <c r="BJ281" s="111">
        <v>40977</v>
      </c>
      <c r="BK281" s="2">
        <v>39858</v>
      </c>
    </row>
    <row r="282" spans="3:63" ht="12.75" hidden="1">
      <c r="C282" s="111">
        <f t="shared" si="136"/>
        <v>40330</v>
      </c>
      <c r="D282">
        <f t="shared" si="148"/>
        <v>30</v>
      </c>
      <c r="E282" s="111">
        <f t="shared" si="149"/>
        <v>40359</v>
      </c>
      <c r="F282" s="117">
        <f t="shared" si="150"/>
        <v>12190</v>
      </c>
      <c r="G282" s="117">
        <f t="shared" si="151"/>
        <v>12190</v>
      </c>
      <c r="H282" s="117">
        <f t="shared" si="152"/>
        <v>16.264</v>
      </c>
      <c r="I282" s="117">
        <f t="shared" si="137"/>
        <v>10</v>
      </c>
      <c r="J282" s="117">
        <f t="shared" si="138"/>
        <v>10</v>
      </c>
      <c r="K282" s="117">
        <f t="shared" si="139"/>
        <v>30</v>
      </c>
      <c r="L282" s="117">
        <f t="shared" si="140"/>
        <v>0</v>
      </c>
      <c r="M282" s="117">
        <f t="shared" si="141"/>
        <v>0</v>
      </c>
      <c r="N282" s="117">
        <f t="shared" si="142"/>
        <v>12190</v>
      </c>
      <c r="O282" s="117">
        <f t="shared" si="143"/>
        <v>12190</v>
      </c>
      <c r="P282">
        <f t="shared" si="144"/>
        <v>1983</v>
      </c>
      <c r="Q282">
        <f t="shared" si="145"/>
        <v>1219</v>
      </c>
      <c r="R282">
        <f t="shared" si="146"/>
        <v>1983</v>
      </c>
      <c r="S282">
        <f t="shared" si="147"/>
        <v>1219</v>
      </c>
      <c r="T282">
        <f t="shared" si="153"/>
        <v>0</v>
      </c>
      <c r="U282">
        <f t="shared" si="154"/>
        <v>0</v>
      </c>
      <c r="AH282">
        <v>4</v>
      </c>
      <c r="BJ282" s="111">
        <v>40978</v>
      </c>
      <c r="BK282" s="2">
        <v>39859</v>
      </c>
    </row>
    <row r="283" spans="3:63" ht="12.75" hidden="1">
      <c r="C283" s="111">
        <f t="shared" si="136"/>
        <v>40360</v>
      </c>
      <c r="D283">
        <f t="shared" si="148"/>
        <v>31</v>
      </c>
      <c r="E283" s="111">
        <f t="shared" si="149"/>
        <v>40390</v>
      </c>
      <c r="F283" s="117">
        <f t="shared" si="150"/>
        <v>12190</v>
      </c>
      <c r="G283" s="117">
        <f t="shared" si="151"/>
        <v>12190</v>
      </c>
      <c r="H283" s="117">
        <f t="shared" si="152"/>
        <v>24.824</v>
      </c>
      <c r="I283" s="117">
        <f t="shared" si="137"/>
        <v>10</v>
      </c>
      <c r="J283" s="117">
        <f t="shared" si="138"/>
        <v>10</v>
      </c>
      <c r="K283" s="117">
        <f t="shared" si="139"/>
        <v>31</v>
      </c>
      <c r="L283" s="117">
        <f t="shared" si="140"/>
        <v>0</v>
      </c>
      <c r="M283" s="117">
        <f t="shared" si="141"/>
        <v>0</v>
      </c>
      <c r="N283" s="117">
        <f t="shared" si="142"/>
        <v>12190</v>
      </c>
      <c r="O283" s="117">
        <f t="shared" si="143"/>
        <v>12190</v>
      </c>
      <c r="P283">
        <f t="shared" si="144"/>
        <v>3026</v>
      </c>
      <c r="Q283">
        <f t="shared" si="145"/>
        <v>1219</v>
      </c>
      <c r="R283">
        <f t="shared" si="146"/>
        <v>3026</v>
      </c>
      <c r="S283">
        <f t="shared" si="147"/>
        <v>1219</v>
      </c>
      <c r="T283">
        <f t="shared" si="153"/>
        <v>0</v>
      </c>
      <c r="U283">
        <f t="shared" si="154"/>
        <v>0</v>
      </c>
      <c r="AH283">
        <v>5</v>
      </c>
      <c r="BJ283" s="111">
        <v>40979</v>
      </c>
      <c r="BK283" s="2">
        <v>39860</v>
      </c>
    </row>
    <row r="284" spans="3:63" ht="12.75" hidden="1">
      <c r="C284" s="111">
        <f t="shared" si="136"/>
        <v>40391</v>
      </c>
      <c r="D284">
        <f t="shared" si="148"/>
        <v>31</v>
      </c>
      <c r="E284" s="111">
        <f t="shared" si="149"/>
        <v>40421</v>
      </c>
      <c r="F284" s="117">
        <f t="shared" si="150"/>
        <v>12190</v>
      </c>
      <c r="G284" s="117">
        <f t="shared" si="151"/>
        <v>12190</v>
      </c>
      <c r="H284" s="117">
        <f t="shared" si="152"/>
        <v>24.824</v>
      </c>
      <c r="I284" s="117">
        <f t="shared" si="137"/>
        <v>10</v>
      </c>
      <c r="J284" s="117">
        <f t="shared" si="138"/>
        <v>10</v>
      </c>
      <c r="K284" s="117">
        <f t="shared" si="139"/>
        <v>31</v>
      </c>
      <c r="L284" s="117">
        <f t="shared" si="140"/>
        <v>0</v>
      </c>
      <c r="M284" s="117">
        <f t="shared" si="141"/>
        <v>0</v>
      </c>
      <c r="N284" s="117">
        <f t="shared" si="142"/>
        <v>12190</v>
      </c>
      <c r="O284" s="117">
        <f t="shared" si="143"/>
        <v>12190</v>
      </c>
      <c r="P284">
        <f t="shared" si="144"/>
        <v>3026</v>
      </c>
      <c r="Q284">
        <f t="shared" si="145"/>
        <v>1219</v>
      </c>
      <c r="R284">
        <f t="shared" si="146"/>
        <v>3026</v>
      </c>
      <c r="S284">
        <f t="shared" si="147"/>
        <v>1219</v>
      </c>
      <c r="T284">
        <f t="shared" si="153"/>
        <v>0</v>
      </c>
      <c r="U284">
        <f t="shared" si="154"/>
        <v>0</v>
      </c>
      <c r="AH284">
        <v>6</v>
      </c>
      <c r="BJ284" s="111">
        <v>40980</v>
      </c>
      <c r="BK284" s="2">
        <v>39861</v>
      </c>
    </row>
    <row r="285" spans="3:63" ht="12.75" hidden="1">
      <c r="C285" s="111">
        <f t="shared" si="136"/>
        <v>40422</v>
      </c>
      <c r="D285">
        <f t="shared" si="148"/>
        <v>30</v>
      </c>
      <c r="E285" s="111">
        <f t="shared" si="149"/>
        <v>40451</v>
      </c>
      <c r="F285" s="117">
        <f t="shared" si="150"/>
        <v>12190</v>
      </c>
      <c r="G285" s="117">
        <f t="shared" si="151"/>
        <v>12190</v>
      </c>
      <c r="H285" s="117">
        <f t="shared" si="152"/>
        <v>24.824</v>
      </c>
      <c r="I285" s="117">
        <f t="shared" si="137"/>
        <v>10</v>
      </c>
      <c r="J285" s="117">
        <f t="shared" si="138"/>
        <v>10</v>
      </c>
      <c r="K285" s="117">
        <f t="shared" si="139"/>
        <v>30</v>
      </c>
      <c r="L285" s="117">
        <f t="shared" si="140"/>
        <v>0</v>
      </c>
      <c r="M285" s="117">
        <f t="shared" si="141"/>
        <v>0</v>
      </c>
      <c r="N285" s="117">
        <f t="shared" si="142"/>
        <v>12190</v>
      </c>
      <c r="O285" s="117">
        <f t="shared" si="143"/>
        <v>12190</v>
      </c>
      <c r="P285">
        <f t="shared" si="144"/>
        <v>3026</v>
      </c>
      <c r="Q285">
        <f t="shared" si="145"/>
        <v>1219</v>
      </c>
      <c r="R285">
        <f t="shared" si="146"/>
        <v>3026</v>
      </c>
      <c r="S285">
        <f t="shared" si="147"/>
        <v>1219</v>
      </c>
      <c r="T285">
        <f t="shared" si="153"/>
        <v>0</v>
      </c>
      <c r="U285">
        <f t="shared" si="154"/>
        <v>0</v>
      </c>
      <c r="AH285">
        <v>7</v>
      </c>
      <c r="BJ285" s="111">
        <v>40981</v>
      </c>
      <c r="BK285" s="2">
        <v>39862</v>
      </c>
    </row>
    <row r="286" spans="3:63" ht="12.75" hidden="1">
      <c r="C286" s="111">
        <f t="shared" si="136"/>
        <v>40452</v>
      </c>
      <c r="D286">
        <f t="shared" si="148"/>
        <v>31</v>
      </c>
      <c r="E286" s="111">
        <f t="shared" si="149"/>
        <v>40482</v>
      </c>
      <c r="F286" s="117">
        <f t="shared" si="150"/>
        <v>12550</v>
      </c>
      <c r="G286" s="117">
        <f t="shared" si="151"/>
        <v>12550</v>
      </c>
      <c r="H286" s="117">
        <f t="shared" si="152"/>
        <v>24.824</v>
      </c>
      <c r="I286" s="117">
        <f t="shared" si="137"/>
        <v>10</v>
      </c>
      <c r="J286" s="117">
        <f t="shared" si="138"/>
        <v>10</v>
      </c>
      <c r="K286" s="117">
        <f t="shared" si="139"/>
        <v>31</v>
      </c>
      <c r="L286" s="117">
        <f t="shared" si="140"/>
        <v>0</v>
      </c>
      <c r="M286" s="117">
        <f t="shared" si="141"/>
        <v>0</v>
      </c>
      <c r="N286" s="117">
        <f t="shared" si="142"/>
        <v>12550</v>
      </c>
      <c r="O286" s="117">
        <f t="shared" si="143"/>
        <v>12550</v>
      </c>
      <c r="P286">
        <f t="shared" si="144"/>
        <v>3115</v>
      </c>
      <c r="Q286">
        <f t="shared" si="145"/>
        <v>1255</v>
      </c>
      <c r="R286">
        <f t="shared" si="146"/>
        <v>3115</v>
      </c>
      <c r="S286">
        <f t="shared" si="147"/>
        <v>1255</v>
      </c>
      <c r="T286">
        <f t="shared" si="153"/>
        <v>0</v>
      </c>
      <c r="U286">
        <f t="shared" si="154"/>
        <v>0</v>
      </c>
      <c r="AH286">
        <v>8</v>
      </c>
      <c r="BJ286" s="111">
        <v>40982</v>
      </c>
      <c r="BK286" s="2">
        <v>39863</v>
      </c>
    </row>
    <row r="287" spans="3:63" ht="12.75" hidden="1">
      <c r="C287" s="111">
        <f t="shared" si="136"/>
        <v>40483</v>
      </c>
      <c r="D287">
        <f t="shared" si="148"/>
        <v>30</v>
      </c>
      <c r="E287" s="111">
        <f t="shared" si="149"/>
        <v>40512</v>
      </c>
      <c r="F287" s="117">
        <f t="shared" si="150"/>
        <v>12550</v>
      </c>
      <c r="G287" s="117">
        <f t="shared" si="151"/>
        <v>12550</v>
      </c>
      <c r="H287" s="117">
        <f t="shared" si="152"/>
        <v>24.824</v>
      </c>
      <c r="I287" s="117">
        <f t="shared" si="137"/>
        <v>10</v>
      </c>
      <c r="J287" s="117">
        <f t="shared" si="138"/>
        <v>10</v>
      </c>
      <c r="K287" s="117">
        <f t="shared" si="139"/>
        <v>30</v>
      </c>
      <c r="L287" s="117">
        <f t="shared" si="140"/>
        <v>0</v>
      </c>
      <c r="M287" s="117">
        <f t="shared" si="141"/>
        <v>0</v>
      </c>
      <c r="N287" s="117">
        <f t="shared" si="142"/>
        <v>12550</v>
      </c>
      <c r="O287" s="117">
        <f t="shared" si="143"/>
        <v>12550</v>
      </c>
      <c r="P287">
        <f t="shared" si="144"/>
        <v>3115</v>
      </c>
      <c r="Q287">
        <f t="shared" si="145"/>
        <v>1255</v>
      </c>
      <c r="R287">
        <f t="shared" si="146"/>
        <v>3115</v>
      </c>
      <c r="S287">
        <f t="shared" si="147"/>
        <v>1255</v>
      </c>
      <c r="T287">
        <f t="shared" si="153"/>
        <v>0</v>
      </c>
      <c r="U287">
        <f t="shared" si="154"/>
        <v>0</v>
      </c>
      <c r="AH287">
        <v>9</v>
      </c>
      <c r="BJ287" s="111">
        <v>40983</v>
      </c>
      <c r="BK287" s="2">
        <v>39864</v>
      </c>
    </row>
    <row r="288" spans="3:63" ht="12.75" hidden="1">
      <c r="C288" s="111">
        <f t="shared" si="136"/>
        <v>40513</v>
      </c>
      <c r="D288">
        <f t="shared" si="148"/>
        <v>31</v>
      </c>
      <c r="E288" s="111">
        <f t="shared" si="149"/>
        <v>40543</v>
      </c>
      <c r="F288" s="117">
        <f t="shared" si="150"/>
        <v>12550</v>
      </c>
      <c r="G288" s="117">
        <f t="shared" si="151"/>
        <v>12550</v>
      </c>
      <c r="H288" s="117">
        <f t="shared" si="152"/>
        <v>24.824</v>
      </c>
      <c r="I288" s="117">
        <f t="shared" si="137"/>
        <v>10</v>
      </c>
      <c r="J288" s="117">
        <f t="shared" si="138"/>
        <v>10</v>
      </c>
      <c r="K288" s="117">
        <f t="shared" si="139"/>
        <v>31</v>
      </c>
      <c r="L288" s="117">
        <f t="shared" si="140"/>
        <v>0</v>
      </c>
      <c r="M288" s="117">
        <f t="shared" si="141"/>
        <v>0</v>
      </c>
      <c r="N288" s="117">
        <f t="shared" si="142"/>
        <v>12550</v>
      </c>
      <c r="O288" s="117">
        <f t="shared" si="143"/>
        <v>12550</v>
      </c>
      <c r="P288">
        <f t="shared" si="144"/>
        <v>3115</v>
      </c>
      <c r="Q288">
        <f t="shared" si="145"/>
        <v>1255</v>
      </c>
      <c r="R288">
        <f t="shared" si="146"/>
        <v>3115</v>
      </c>
      <c r="S288">
        <f t="shared" si="147"/>
        <v>1255</v>
      </c>
      <c r="T288">
        <f t="shared" si="153"/>
        <v>0</v>
      </c>
      <c r="U288">
        <f t="shared" si="154"/>
        <v>0</v>
      </c>
      <c r="AH288">
        <v>10</v>
      </c>
      <c r="BJ288" s="111">
        <v>40984</v>
      </c>
      <c r="BK288" s="2">
        <v>39865</v>
      </c>
    </row>
    <row r="289" spans="3:63" ht="12.75" hidden="1">
      <c r="C289" s="111">
        <f t="shared" si="136"/>
        <v>40544</v>
      </c>
      <c r="D289">
        <f t="shared" si="148"/>
        <v>31</v>
      </c>
      <c r="E289" s="111">
        <f t="shared" si="149"/>
        <v>40574</v>
      </c>
      <c r="F289" s="117">
        <f t="shared" si="150"/>
        <v>12550</v>
      </c>
      <c r="G289" s="117">
        <f t="shared" si="151"/>
        <v>12550</v>
      </c>
      <c r="H289" s="117">
        <f t="shared" si="152"/>
        <v>29.96</v>
      </c>
      <c r="I289" s="117">
        <f t="shared" si="137"/>
        <v>10</v>
      </c>
      <c r="J289" s="117">
        <f t="shared" si="138"/>
        <v>10</v>
      </c>
      <c r="K289" s="117">
        <f t="shared" si="139"/>
        <v>31</v>
      </c>
      <c r="L289" s="117">
        <f t="shared" si="140"/>
        <v>0</v>
      </c>
      <c r="M289" s="117">
        <f t="shared" si="141"/>
        <v>0</v>
      </c>
      <c r="N289" s="117">
        <f t="shared" si="142"/>
        <v>12550</v>
      </c>
      <c r="O289" s="117">
        <f t="shared" si="143"/>
        <v>12550</v>
      </c>
      <c r="P289">
        <f t="shared" si="144"/>
        <v>3760</v>
      </c>
      <c r="Q289">
        <f t="shared" si="145"/>
        <v>1255</v>
      </c>
      <c r="R289">
        <f t="shared" si="146"/>
        <v>3760</v>
      </c>
      <c r="S289">
        <f t="shared" si="147"/>
        <v>1255</v>
      </c>
      <c r="T289">
        <f t="shared" si="153"/>
        <v>0</v>
      </c>
      <c r="U289">
        <f t="shared" si="154"/>
        <v>0</v>
      </c>
      <c r="AH289">
        <v>11</v>
      </c>
      <c r="BJ289" s="111">
        <v>40985</v>
      </c>
      <c r="BK289" s="2">
        <v>39866</v>
      </c>
    </row>
    <row r="290" spans="3:63" ht="12.75" hidden="1">
      <c r="C290" s="111">
        <f t="shared" si="136"/>
        <v>40575</v>
      </c>
      <c r="D290">
        <f t="shared" si="148"/>
        <v>28</v>
      </c>
      <c r="E290" s="111">
        <f t="shared" si="149"/>
        <v>40602</v>
      </c>
      <c r="F290" s="117">
        <f t="shared" si="150"/>
        <v>12550</v>
      </c>
      <c r="G290" s="117">
        <f t="shared" si="151"/>
        <v>12550</v>
      </c>
      <c r="H290" s="117">
        <f t="shared" si="152"/>
        <v>29.96</v>
      </c>
      <c r="I290" s="117">
        <f t="shared" si="137"/>
        <v>10</v>
      </c>
      <c r="J290" s="117">
        <f t="shared" si="138"/>
        <v>10</v>
      </c>
      <c r="K290" s="117">
        <f t="shared" si="139"/>
        <v>28</v>
      </c>
      <c r="L290" s="117">
        <f t="shared" si="140"/>
        <v>0</v>
      </c>
      <c r="M290" s="117">
        <f t="shared" si="141"/>
        <v>0</v>
      </c>
      <c r="N290" s="117">
        <f t="shared" si="142"/>
        <v>12550</v>
      </c>
      <c r="O290" s="117">
        <f t="shared" si="143"/>
        <v>12550</v>
      </c>
      <c r="P290">
        <f t="shared" si="144"/>
        <v>3760</v>
      </c>
      <c r="Q290">
        <f t="shared" si="145"/>
        <v>1255</v>
      </c>
      <c r="R290">
        <f t="shared" si="146"/>
        <v>3760</v>
      </c>
      <c r="S290">
        <f t="shared" si="147"/>
        <v>1255</v>
      </c>
      <c r="T290">
        <f t="shared" si="153"/>
        <v>0</v>
      </c>
      <c r="U290">
        <f t="shared" si="154"/>
        <v>0</v>
      </c>
      <c r="AH290">
        <v>12</v>
      </c>
      <c r="BJ290" s="111">
        <v>40986</v>
      </c>
      <c r="BK290" s="2">
        <v>39867</v>
      </c>
    </row>
    <row r="291" spans="3:63" ht="12.75" hidden="1">
      <c r="C291" s="111">
        <f t="shared" si="136"/>
        <v>40603</v>
      </c>
      <c r="D291">
        <f t="shared" si="148"/>
        <v>25</v>
      </c>
      <c r="E291" s="111">
        <f t="shared" si="149"/>
        <v>40627.01</v>
      </c>
      <c r="F291" s="117">
        <f t="shared" si="150"/>
        <v>12550</v>
      </c>
      <c r="G291" s="117">
        <f t="shared" si="151"/>
        <v>12550</v>
      </c>
      <c r="H291" s="117">
        <f t="shared" si="152"/>
        <v>29.96</v>
      </c>
      <c r="I291" s="117">
        <f t="shared" si="137"/>
        <v>10</v>
      </c>
      <c r="J291" s="117">
        <f t="shared" si="138"/>
        <v>10</v>
      </c>
      <c r="K291" s="117">
        <f t="shared" si="139"/>
        <v>31</v>
      </c>
      <c r="L291" s="117">
        <f t="shared" si="140"/>
        <v>0</v>
      </c>
      <c r="M291" s="117">
        <f t="shared" si="141"/>
        <v>0</v>
      </c>
      <c r="N291" s="117">
        <f t="shared" si="142"/>
        <v>10121</v>
      </c>
      <c r="O291" s="117">
        <f t="shared" si="143"/>
        <v>10121</v>
      </c>
      <c r="P291">
        <f t="shared" si="144"/>
        <v>3032</v>
      </c>
      <c r="Q291">
        <f t="shared" si="145"/>
        <v>1012</v>
      </c>
      <c r="R291">
        <f t="shared" si="146"/>
        <v>3032</v>
      </c>
      <c r="S291">
        <f t="shared" si="147"/>
        <v>1012</v>
      </c>
      <c r="T291">
        <f t="shared" si="153"/>
        <v>0</v>
      </c>
      <c r="U291">
        <f t="shared" si="154"/>
        <v>0</v>
      </c>
      <c r="AH291">
        <v>13</v>
      </c>
      <c r="BJ291" s="111">
        <v>40987</v>
      </c>
      <c r="BK291" s="2">
        <v>39868</v>
      </c>
    </row>
    <row r="292" spans="3:63" ht="12.75" hidden="1">
      <c r="C292" s="111">
        <f t="shared" si="136"/>
        <v>40628.01</v>
      </c>
      <c r="D292">
        <f t="shared" si="148"/>
        <v>6</v>
      </c>
      <c r="E292" s="111">
        <f t="shared" si="149"/>
        <v>40633</v>
      </c>
      <c r="F292" s="117">
        <f t="shared" si="150"/>
        <v>12910</v>
      </c>
      <c r="G292" s="117">
        <f t="shared" si="151"/>
        <v>12910</v>
      </c>
      <c r="H292" s="117">
        <f t="shared" si="152"/>
        <v>29.96</v>
      </c>
      <c r="I292" s="117">
        <f t="shared" si="137"/>
        <v>10</v>
      </c>
      <c r="J292" s="117">
        <f t="shared" si="138"/>
        <v>10</v>
      </c>
      <c r="K292" s="117">
        <f t="shared" si="139"/>
        <v>31</v>
      </c>
      <c r="L292" s="117">
        <f t="shared" si="140"/>
        <v>0</v>
      </c>
      <c r="M292" s="117">
        <f t="shared" si="141"/>
        <v>0</v>
      </c>
      <c r="N292" s="117">
        <f t="shared" si="142"/>
        <v>2499</v>
      </c>
      <c r="O292" s="117">
        <f t="shared" si="143"/>
        <v>2499</v>
      </c>
      <c r="P292">
        <f t="shared" si="144"/>
        <v>749</v>
      </c>
      <c r="Q292">
        <f t="shared" si="145"/>
        <v>250</v>
      </c>
      <c r="R292">
        <f t="shared" si="146"/>
        <v>749</v>
      </c>
      <c r="S292">
        <f t="shared" si="147"/>
        <v>250</v>
      </c>
      <c r="T292">
        <f t="shared" si="153"/>
        <v>0</v>
      </c>
      <c r="U292">
        <f t="shared" si="154"/>
        <v>0</v>
      </c>
      <c r="AH292">
        <v>14</v>
      </c>
      <c r="BJ292" s="111">
        <v>40988</v>
      </c>
      <c r="BK292" s="2">
        <v>39869</v>
      </c>
    </row>
    <row r="293" spans="3:63" ht="12.75" hidden="1">
      <c r="C293" s="111">
        <f t="shared" si="136"/>
        <v>40634</v>
      </c>
      <c r="D293">
        <f t="shared" si="148"/>
        <v>30</v>
      </c>
      <c r="E293" s="111">
        <f t="shared" si="149"/>
        <v>40663</v>
      </c>
      <c r="F293" s="117">
        <f t="shared" si="150"/>
        <v>12910</v>
      </c>
      <c r="G293" s="117">
        <f t="shared" si="151"/>
        <v>12910</v>
      </c>
      <c r="H293" s="117">
        <f t="shared" si="152"/>
        <v>29.96</v>
      </c>
      <c r="I293" s="117">
        <f t="shared" si="137"/>
        <v>12</v>
      </c>
      <c r="J293" s="117">
        <f t="shared" si="138"/>
        <v>12</v>
      </c>
      <c r="K293" s="117">
        <f t="shared" si="139"/>
        <v>30</v>
      </c>
      <c r="L293" s="117">
        <f t="shared" si="140"/>
        <v>0</v>
      </c>
      <c r="M293" s="117">
        <f t="shared" si="141"/>
        <v>0</v>
      </c>
      <c r="N293" s="117">
        <f t="shared" si="142"/>
        <v>12910</v>
      </c>
      <c r="O293" s="117">
        <f t="shared" si="143"/>
        <v>12910</v>
      </c>
      <c r="P293">
        <f t="shared" si="144"/>
        <v>3868</v>
      </c>
      <c r="Q293">
        <f t="shared" si="145"/>
        <v>1549</v>
      </c>
      <c r="R293">
        <f t="shared" si="146"/>
        <v>3868</v>
      </c>
      <c r="S293">
        <f t="shared" si="147"/>
        <v>1549</v>
      </c>
      <c r="T293">
        <f t="shared" si="153"/>
        <v>0</v>
      </c>
      <c r="U293">
        <f t="shared" si="154"/>
        <v>0</v>
      </c>
      <c r="AH293">
        <v>15</v>
      </c>
      <c r="BJ293" s="111">
        <v>40989</v>
      </c>
      <c r="BK293" s="2">
        <v>39870</v>
      </c>
    </row>
    <row r="294" spans="3:63" ht="12.75" hidden="1">
      <c r="C294" s="111">
        <f t="shared" si="136"/>
        <v>40664</v>
      </c>
      <c r="D294">
        <f t="shared" si="148"/>
        <v>31</v>
      </c>
      <c r="E294" s="111">
        <f t="shared" si="149"/>
        <v>40694</v>
      </c>
      <c r="F294" s="117">
        <f t="shared" si="150"/>
        <v>12910</v>
      </c>
      <c r="G294" s="117">
        <f t="shared" si="151"/>
        <v>12910</v>
      </c>
      <c r="H294" s="117">
        <f t="shared" si="152"/>
        <v>29.96</v>
      </c>
      <c r="I294" s="117">
        <f t="shared" si="137"/>
        <v>12</v>
      </c>
      <c r="J294" s="117">
        <f t="shared" si="138"/>
        <v>12</v>
      </c>
      <c r="K294" s="117">
        <f t="shared" si="139"/>
        <v>31</v>
      </c>
      <c r="L294" s="117">
        <f t="shared" si="140"/>
        <v>0</v>
      </c>
      <c r="M294" s="117">
        <f t="shared" si="141"/>
        <v>0</v>
      </c>
      <c r="N294" s="117">
        <f t="shared" si="142"/>
        <v>12910</v>
      </c>
      <c r="O294" s="117">
        <f t="shared" si="143"/>
        <v>12910</v>
      </c>
      <c r="P294">
        <f t="shared" si="144"/>
        <v>3868</v>
      </c>
      <c r="Q294">
        <f t="shared" si="145"/>
        <v>1549</v>
      </c>
      <c r="R294">
        <f t="shared" si="146"/>
        <v>3868</v>
      </c>
      <c r="S294">
        <f t="shared" si="147"/>
        <v>1549</v>
      </c>
      <c r="T294">
        <f t="shared" si="153"/>
        <v>0</v>
      </c>
      <c r="U294">
        <f t="shared" si="154"/>
        <v>0</v>
      </c>
      <c r="AH294">
        <v>16</v>
      </c>
      <c r="BJ294" s="111">
        <v>40990</v>
      </c>
      <c r="BK294" s="2">
        <v>39871</v>
      </c>
    </row>
    <row r="295" spans="3:63" ht="12.75" hidden="1">
      <c r="C295" s="111">
        <f t="shared" si="136"/>
        <v>0</v>
      </c>
      <c r="D295">
        <f t="shared" si="148"/>
        <v>0</v>
      </c>
      <c r="E295" s="111">
        <f t="shared" si="149"/>
        <v>0</v>
      </c>
      <c r="F295" s="117">
        <f t="shared" si="150"/>
        <v>0</v>
      </c>
      <c r="G295" s="117">
        <f t="shared" si="151"/>
        <v>0</v>
      </c>
      <c r="H295" s="117">
        <f t="shared" si="152"/>
        <v>0</v>
      </c>
      <c r="I295" s="117">
        <f t="shared" si="137"/>
        <v>0</v>
      </c>
      <c r="J295" s="117">
        <f t="shared" si="138"/>
        <v>0</v>
      </c>
      <c r="K295" s="117">
        <f t="shared" si="139"/>
        <v>0</v>
      </c>
      <c r="L295" s="117">
        <f t="shared" si="140"/>
        <v>0</v>
      </c>
      <c r="M295" s="117">
        <f t="shared" si="141"/>
        <v>0</v>
      </c>
      <c r="N295" s="117">
        <f t="shared" si="142"/>
        <v>0</v>
      </c>
      <c r="O295" s="117">
        <f t="shared" si="143"/>
        <v>0</v>
      </c>
      <c r="P295">
        <f t="shared" si="144"/>
        <v>0</v>
      </c>
      <c r="Q295">
        <f t="shared" si="145"/>
        <v>0</v>
      </c>
      <c r="R295">
        <f t="shared" si="146"/>
        <v>0</v>
      </c>
      <c r="S295">
        <f t="shared" si="147"/>
        <v>0</v>
      </c>
      <c r="T295">
        <f t="shared" si="153"/>
        <v>0</v>
      </c>
      <c r="U295">
        <f t="shared" si="154"/>
        <v>0</v>
      </c>
      <c r="AH295">
        <v>17</v>
      </c>
      <c r="BJ295" s="111">
        <v>40991</v>
      </c>
      <c r="BK295" s="2">
        <v>39872</v>
      </c>
    </row>
    <row r="296" spans="3:63" ht="12.75" hidden="1">
      <c r="C296" s="111">
        <f t="shared" si="136"/>
        <v>0</v>
      </c>
      <c r="D296">
        <f t="shared" si="148"/>
        <v>0</v>
      </c>
      <c r="E296" s="111">
        <f t="shared" si="149"/>
        <v>0</v>
      </c>
      <c r="F296" s="117">
        <f t="shared" si="150"/>
        <v>0</v>
      </c>
      <c r="G296" s="117">
        <f t="shared" si="151"/>
        <v>0</v>
      </c>
      <c r="H296" s="117">
        <f t="shared" si="152"/>
        <v>0</v>
      </c>
      <c r="I296" s="117">
        <f t="shared" si="137"/>
        <v>0</v>
      </c>
      <c r="J296" s="117">
        <f t="shared" si="138"/>
        <v>0</v>
      </c>
      <c r="K296" s="117">
        <f t="shared" si="139"/>
        <v>0</v>
      </c>
      <c r="L296" s="117">
        <f t="shared" si="140"/>
        <v>0</v>
      </c>
      <c r="M296" s="117">
        <f t="shared" si="141"/>
        <v>0</v>
      </c>
      <c r="N296" s="117">
        <f t="shared" si="142"/>
        <v>0</v>
      </c>
      <c r="O296" s="117">
        <f t="shared" si="143"/>
        <v>0</v>
      </c>
      <c r="P296">
        <f t="shared" si="144"/>
        <v>0</v>
      </c>
      <c r="Q296">
        <f t="shared" si="145"/>
        <v>0</v>
      </c>
      <c r="R296">
        <f t="shared" si="146"/>
        <v>0</v>
      </c>
      <c r="S296">
        <f t="shared" si="147"/>
        <v>0</v>
      </c>
      <c r="T296">
        <f t="shared" si="153"/>
        <v>0</v>
      </c>
      <c r="U296">
        <f t="shared" si="154"/>
        <v>0</v>
      </c>
      <c r="AH296">
        <v>18</v>
      </c>
      <c r="BJ296" s="111">
        <v>40992</v>
      </c>
      <c r="BK296" s="2">
        <v>39873</v>
      </c>
    </row>
    <row r="297" spans="3:63" ht="12.75" hidden="1">
      <c r="C297" s="111">
        <f t="shared" si="136"/>
        <v>0</v>
      </c>
      <c r="D297">
        <f t="shared" si="148"/>
        <v>0</v>
      </c>
      <c r="E297" s="111">
        <f t="shared" si="149"/>
        <v>0</v>
      </c>
      <c r="F297" s="117">
        <f t="shared" si="150"/>
        <v>0</v>
      </c>
      <c r="G297" s="117">
        <f t="shared" si="151"/>
        <v>0</v>
      </c>
      <c r="H297" s="117">
        <f t="shared" si="152"/>
        <v>0</v>
      </c>
      <c r="I297" s="117">
        <f t="shared" si="137"/>
        <v>0</v>
      </c>
      <c r="J297" s="117">
        <f t="shared" si="138"/>
        <v>0</v>
      </c>
      <c r="K297" s="117">
        <f t="shared" si="139"/>
        <v>0</v>
      </c>
      <c r="L297" s="117">
        <f t="shared" si="140"/>
        <v>0</v>
      </c>
      <c r="M297" s="117">
        <f t="shared" si="141"/>
        <v>0</v>
      </c>
      <c r="N297" s="117">
        <f t="shared" si="142"/>
        <v>0</v>
      </c>
      <c r="O297" s="117">
        <f t="shared" si="143"/>
        <v>0</v>
      </c>
      <c r="P297">
        <f t="shared" si="144"/>
        <v>0</v>
      </c>
      <c r="Q297">
        <f t="shared" si="145"/>
        <v>0</v>
      </c>
      <c r="R297">
        <f t="shared" si="146"/>
        <v>0</v>
      </c>
      <c r="S297">
        <f t="shared" si="147"/>
        <v>0</v>
      </c>
      <c r="T297">
        <f t="shared" si="153"/>
        <v>0</v>
      </c>
      <c r="U297">
        <f t="shared" si="154"/>
        <v>0</v>
      </c>
      <c r="AH297">
        <v>19</v>
      </c>
      <c r="BJ297" s="111">
        <v>40993</v>
      </c>
      <c r="BK297" s="2">
        <v>39874</v>
      </c>
    </row>
    <row r="298" spans="3:63" ht="12.75" hidden="1">
      <c r="C298" s="111">
        <f t="shared" si="136"/>
        <v>0</v>
      </c>
      <c r="D298">
        <f t="shared" si="148"/>
        <v>0</v>
      </c>
      <c r="E298" s="111">
        <f t="shared" si="149"/>
        <v>0</v>
      </c>
      <c r="F298" s="117">
        <f t="shared" si="150"/>
        <v>0</v>
      </c>
      <c r="G298" s="117">
        <f t="shared" si="151"/>
        <v>0</v>
      </c>
      <c r="H298" s="117">
        <f t="shared" si="152"/>
        <v>0</v>
      </c>
      <c r="I298" s="117">
        <f t="shared" si="137"/>
        <v>0</v>
      </c>
      <c r="J298" s="117">
        <f t="shared" si="138"/>
        <v>0</v>
      </c>
      <c r="K298" s="117">
        <f t="shared" si="139"/>
        <v>0</v>
      </c>
      <c r="L298" s="117">
        <f t="shared" si="140"/>
        <v>0</v>
      </c>
      <c r="M298" s="117">
        <f t="shared" si="141"/>
        <v>0</v>
      </c>
      <c r="N298" s="117">
        <f t="shared" si="142"/>
        <v>0</v>
      </c>
      <c r="O298" s="117">
        <f t="shared" si="143"/>
        <v>0</v>
      </c>
      <c r="P298">
        <f t="shared" si="144"/>
        <v>0</v>
      </c>
      <c r="Q298">
        <f t="shared" si="145"/>
        <v>0</v>
      </c>
      <c r="R298">
        <f t="shared" si="146"/>
        <v>0</v>
      </c>
      <c r="S298">
        <f t="shared" si="147"/>
        <v>0</v>
      </c>
      <c r="T298">
        <f t="shared" si="153"/>
        <v>0</v>
      </c>
      <c r="U298">
        <f t="shared" si="154"/>
        <v>0</v>
      </c>
      <c r="AH298">
        <v>20</v>
      </c>
      <c r="BJ298" s="111">
        <v>40994</v>
      </c>
      <c r="BK298" s="2">
        <v>39875</v>
      </c>
    </row>
    <row r="299" spans="5:63" ht="12.75" hidden="1">
      <c r="E299" s="111"/>
      <c r="AH299">
        <v>21</v>
      </c>
      <c r="BJ299" s="111">
        <v>40995</v>
      </c>
      <c r="BK299" s="2">
        <v>39876</v>
      </c>
    </row>
    <row r="300" spans="5:63" ht="12.75" hidden="1">
      <c r="E300" s="111"/>
      <c r="AH300">
        <v>22</v>
      </c>
      <c r="BJ300" s="111">
        <v>40996</v>
      </c>
      <c r="BK300" s="2">
        <v>39877</v>
      </c>
    </row>
    <row r="301" spans="2:63" ht="12.75" hidden="1">
      <c r="B301">
        <f>VLOOKUP(X245,W245:Y275,3,TRUE)</f>
        <v>18</v>
      </c>
      <c r="C301" s="111">
        <f>VLOOKUP(B301,B244:Y275,2,TRUE)</f>
        <v>40695</v>
      </c>
      <c r="D301">
        <f>VLOOKUP(B301,B244:Y275,3,TRUE)</f>
        <v>30</v>
      </c>
      <c r="E301" s="111">
        <f>VLOOKUP(B301,B244:Y275,4,TRUE)</f>
        <v>40724</v>
      </c>
      <c r="F301">
        <f>VLOOKUP(B301,B244:Y275,5,TRUE)</f>
        <v>12910</v>
      </c>
      <c r="G301">
        <f>VLOOKUP(B301,B244:Y275,6,TRUE)</f>
        <v>12910</v>
      </c>
      <c r="H301">
        <f>VLOOKUP(B301,B244:Y275,7,TRUE)</f>
        <v>29.96</v>
      </c>
      <c r="I301">
        <f>VLOOKUP(B301,B244:Y275,8,TRUE)</f>
        <v>12</v>
      </c>
      <c r="J301">
        <f>VLOOKUP(B301,B244:Y275,9,TRUE)</f>
        <v>12</v>
      </c>
      <c r="K301">
        <f>VLOOKUP(B301,B244:Y275,10,TRUE)</f>
        <v>30</v>
      </c>
      <c r="L301">
        <f>VLOOKUP(B301,B244:Y275,11,TRUE)</f>
        <v>0</v>
      </c>
      <c r="M301">
        <f>VLOOKUP(B301,B244:Y275,12,TRUE)</f>
        <v>0</v>
      </c>
      <c r="N301">
        <f>VLOOKUP(B301,B244:Y275,13,TRUE)</f>
        <v>12910</v>
      </c>
      <c r="O301">
        <f>VLOOKUP(B301,B244:Y275,14,TRUE)</f>
        <v>12910</v>
      </c>
      <c r="P301">
        <f>VLOOKUP(B301,B244:Y275,15,TRUE)</f>
        <v>3868</v>
      </c>
      <c r="Q301">
        <f>VLOOKUP(B301,B244:Y275,16,TRUE)</f>
        <v>1549</v>
      </c>
      <c r="R301">
        <f>VLOOKUP(B301,B244:Y275,17,TRUE)</f>
        <v>3868</v>
      </c>
      <c r="S301">
        <f>VLOOKUP(B301,B244:Y275,18,TRUE)</f>
        <v>1549</v>
      </c>
      <c r="T301">
        <f>VLOOKUP(B301,B244:Y275,19,TRUE)</f>
        <v>0</v>
      </c>
      <c r="U301">
        <f>IF(D301=0,0,U278)</f>
        <v>0</v>
      </c>
      <c r="AH301">
        <v>23</v>
      </c>
      <c r="BJ301" s="111">
        <v>40997</v>
      </c>
      <c r="BK301" s="2">
        <v>39878</v>
      </c>
    </row>
    <row r="302" spans="2:63" ht="12.75" hidden="1">
      <c r="B302">
        <f>B301+1</f>
        <v>19</v>
      </c>
      <c r="C302" s="111">
        <f>VLOOKUP(B302,B244:Y275,2,TRUE)</f>
        <v>40725</v>
      </c>
      <c r="D302">
        <f>VLOOKUP(B302,B244:Y275,3,TRUE)</f>
        <v>31</v>
      </c>
      <c r="E302" s="111">
        <f>VLOOKUP(B302,B244:Y275,4,TRUE)</f>
        <v>40755</v>
      </c>
      <c r="F302">
        <f>VLOOKUP(B302,B244:Y275,5,TRUE)</f>
        <v>12910</v>
      </c>
      <c r="G302">
        <f>VLOOKUP(B302,B244:Y275,6,TRUE)</f>
        <v>12910</v>
      </c>
      <c r="H302">
        <f>VLOOKUP(B302,B244:Y275,7,TRUE)</f>
        <v>29.96</v>
      </c>
      <c r="I302">
        <f>VLOOKUP(B302,B244:Y275,8,TRUE)</f>
        <v>12</v>
      </c>
      <c r="J302">
        <f>VLOOKUP(B302,B244:Y275,9,TRUE)</f>
        <v>12</v>
      </c>
      <c r="K302">
        <f>VLOOKUP(B302,B244:Y275,10,TRUE)</f>
        <v>31</v>
      </c>
      <c r="L302">
        <f>VLOOKUP(B302,B244:Y275,11,TRUE)</f>
        <v>0</v>
      </c>
      <c r="M302">
        <f>VLOOKUP(B302,B244:Y275,12,TRUE)</f>
        <v>0</v>
      </c>
      <c r="N302">
        <f>VLOOKUP(B302,B244:Y275,13,TRUE)</f>
        <v>12910</v>
      </c>
      <c r="O302">
        <f>VLOOKUP(B302,B244:Y275,14,TRUE)</f>
        <v>12910</v>
      </c>
      <c r="P302">
        <f>VLOOKUP(B302,B244:Y275,15,TRUE)</f>
        <v>3868</v>
      </c>
      <c r="Q302">
        <f>VLOOKUP(B302,B244:Y275,16,TRUE)</f>
        <v>1549</v>
      </c>
      <c r="R302">
        <f>VLOOKUP(B302,B244:Y275,17,TRUE)</f>
        <v>3868</v>
      </c>
      <c r="S302">
        <f>VLOOKUP(B302,B244:Y275,18,TRUE)</f>
        <v>1549</v>
      </c>
      <c r="T302">
        <f aca="true" t="shared" si="155" ref="T302:T311">VLOOKUP(B302,B245:Y276,19,TRUE)</f>
        <v>0</v>
      </c>
      <c r="U302">
        <f aca="true" t="shared" si="156" ref="U302:U311">IF(D302=0,0,U279)</f>
        <v>0</v>
      </c>
      <c r="AH302">
        <v>24</v>
      </c>
      <c r="BJ302" s="111">
        <v>40998</v>
      </c>
      <c r="BK302" s="2">
        <v>39879</v>
      </c>
    </row>
    <row r="303" spans="2:63" ht="12.75" hidden="1">
      <c r="B303">
        <f aca="true" t="shared" si="157" ref="B303:B311">B302+1</f>
        <v>20</v>
      </c>
      <c r="C303" s="111">
        <f>VLOOKUP(B303,B244:Y275,2,TRUE)</f>
        <v>40756</v>
      </c>
      <c r="D303">
        <f>VLOOKUP(B303,B244:Y275,3,TRUE)</f>
        <v>31</v>
      </c>
      <c r="E303" s="111">
        <f>VLOOKUP(B303,B244:Y275,4,TRUE)</f>
        <v>40786</v>
      </c>
      <c r="F303">
        <f>VLOOKUP(B303,B244:Y275,5,TRUE)</f>
        <v>12910</v>
      </c>
      <c r="G303">
        <f>VLOOKUP(B303,B244:Y275,6,TRUE)</f>
        <v>12910</v>
      </c>
      <c r="H303">
        <f>VLOOKUP(B303,B244:Y275,7,TRUE)</f>
        <v>29.96</v>
      </c>
      <c r="I303">
        <f>VLOOKUP(B303,B244:Y275,8,TRUE)</f>
        <v>12</v>
      </c>
      <c r="J303">
        <f>VLOOKUP(B303,B244:Y275,9,TRUE)</f>
        <v>12</v>
      </c>
      <c r="K303">
        <f>VLOOKUP(B303,B244:Y275,10,TRUE)</f>
        <v>31</v>
      </c>
      <c r="L303">
        <f>VLOOKUP(B303,B244:Y275,11,TRUE)</f>
        <v>0</v>
      </c>
      <c r="M303">
        <f>VLOOKUP(B303,B244:Y275,12,TRUE)</f>
        <v>0</v>
      </c>
      <c r="N303">
        <f>VLOOKUP(B303,B244:Y275,13,TRUE)</f>
        <v>12910</v>
      </c>
      <c r="O303">
        <f>VLOOKUP(B303,B244:Y275,14,TRUE)</f>
        <v>12910</v>
      </c>
      <c r="P303">
        <f>VLOOKUP(B303,B244:Y275,15,TRUE)</f>
        <v>3868</v>
      </c>
      <c r="Q303">
        <f>VLOOKUP(B303,B244:Y275,16,TRUE)</f>
        <v>1549</v>
      </c>
      <c r="R303">
        <f>VLOOKUP(B303,B244:Y275,17,TRUE)</f>
        <v>3868</v>
      </c>
      <c r="S303">
        <f>VLOOKUP(B303,B244:Y275,18,TRUE)</f>
        <v>1549</v>
      </c>
      <c r="T303">
        <f t="shared" si="155"/>
        <v>0</v>
      </c>
      <c r="U303">
        <f t="shared" si="156"/>
        <v>0</v>
      </c>
      <c r="AH303">
        <v>25</v>
      </c>
      <c r="BJ303" s="111">
        <v>40999</v>
      </c>
      <c r="BK303" s="2">
        <v>39880</v>
      </c>
    </row>
    <row r="304" spans="2:63" ht="12.75" hidden="1">
      <c r="B304">
        <f t="shared" si="157"/>
        <v>21</v>
      </c>
      <c r="C304" s="111">
        <f>VLOOKUP(B304,B244:Y275,2,TRUE)</f>
        <v>40787</v>
      </c>
      <c r="D304">
        <f>VLOOKUP(B304,B244:Y275,3,TRUE)</f>
        <v>30</v>
      </c>
      <c r="E304" s="111">
        <f>VLOOKUP(B304,B244:Y275,4,TRUE)</f>
        <v>40816</v>
      </c>
      <c r="F304">
        <f>VLOOKUP(B304,B244:Y275,5,TRUE)</f>
        <v>12910</v>
      </c>
      <c r="G304">
        <f>VLOOKUP(B304,B244:Y275,6,TRUE)</f>
        <v>12910</v>
      </c>
      <c r="H304">
        <f>VLOOKUP(B304,B244:Y275,7,TRUE)</f>
        <v>29.96</v>
      </c>
      <c r="I304">
        <f>VLOOKUP(B304,B244:Y275,8,TRUE)</f>
        <v>12</v>
      </c>
      <c r="J304">
        <f>VLOOKUP(B304,B244:Y275,9,TRUE)</f>
        <v>12</v>
      </c>
      <c r="K304">
        <f>VLOOKUP(B304,B244:Y275,10,TRUE)</f>
        <v>30</v>
      </c>
      <c r="L304">
        <f>VLOOKUP(B304,B244:Y275,11,TRUE)</f>
        <v>0</v>
      </c>
      <c r="M304">
        <f>VLOOKUP(B304,B244:Y275,12,TRUE)</f>
        <v>0</v>
      </c>
      <c r="N304">
        <f>VLOOKUP(B304,B244:Y275,13,TRUE)</f>
        <v>12910</v>
      </c>
      <c r="O304">
        <f>VLOOKUP(B304,B244:Y275,14,TRUE)</f>
        <v>12910</v>
      </c>
      <c r="P304">
        <f>VLOOKUP(B304,B244:Y275,15,TRUE)</f>
        <v>3868</v>
      </c>
      <c r="Q304">
        <f>VLOOKUP(B304,B244:Y275,16,TRUE)</f>
        <v>1549</v>
      </c>
      <c r="R304">
        <f>VLOOKUP(B304,B244:Y275,17,TRUE)</f>
        <v>3868</v>
      </c>
      <c r="S304">
        <f>VLOOKUP(B304,B244:Y275,18,TRUE)</f>
        <v>1549</v>
      </c>
      <c r="T304">
        <f t="shared" si="155"/>
        <v>0</v>
      </c>
      <c r="U304">
        <f t="shared" si="156"/>
        <v>0</v>
      </c>
      <c r="AH304">
        <v>26</v>
      </c>
      <c r="BJ304" s="111">
        <v>41000</v>
      </c>
      <c r="BK304" s="2">
        <v>39881</v>
      </c>
    </row>
    <row r="305" spans="2:63" ht="12.75" hidden="1">
      <c r="B305">
        <f t="shared" si="157"/>
        <v>22</v>
      </c>
      <c r="C305" s="111">
        <f>VLOOKUP(B305,B244:Y275,2,TRUE)</f>
        <v>40817</v>
      </c>
      <c r="D305">
        <f>VLOOKUP(B305,B244:Y275,3,TRUE)</f>
        <v>1</v>
      </c>
      <c r="E305" s="111">
        <f>VLOOKUP(B305,B244:Y275,4,TRUE)</f>
        <v>40817.01</v>
      </c>
      <c r="F305">
        <f>VLOOKUP(B305,B244:Y275,5,TRUE)</f>
        <v>13660</v>
      </c>
      <c r="G305">
        <f>VLOOKUP(B305,B244:Y275,6,TRUE)</f>
        <v>13660</v>
      </c>
      <c r="H305">
        <f>VLOOKUP(B305,B244:Y275,7,TRUE)</f>
        <v>29.96</v>
      </c>
      <c r="I305">
        <f>VLOOKUP(B305,B244:Y275,8,TRUE)</f>
        <v>12</v>
      </c>
      <c r="J305">
        <f>VLOOKUP(B305,B244:Y275,9,TRUE)</f>
        <v>12</v>
      </c>
      <c r="K305">
        <f>VLOOKUP(B305,B244:Y275,10,TRUE)</f>
        <v>31</v>
      </c>
      <c r="L305">
        <f>VLOOKUP(B305,B244:Y275,11,TRUE)</f>
        <v>0</v>
      </c>
      <c r="M305">
        <f>VLOOKUP(B305,B244:Y275,12,TRUE)</f>
        <v>0</v>
      </c>
      <c r="N305">
        <f>VLOOKUP(B305,B244:Y275,13,TRUE)</f>
        <v>441</v>
      </c>
      <c r="O305">
        <f>VLOOKUP(B305,B244:Y275,14,TRUE)</f>
        <v>441</v>
      </c>
      <c r="P305">
        <f>VLOOKUP(B305,B244:Y275,15,TRUE)</f>
        <v>132</v>
      </c>
      <c r="Q305">
        <f>VLOOKUP(B305,B244:Y275,16,TRUE)</f>
        <v>53</v>
      </c>
      <c r="R305">
        <f>VLOOKUP(B305,B244:Y275,17,TRUE)</f>
        <v>132</v>
      </c>
      <c r="S305">
        <f>VLOOKUP(B305,B244:Y275,18,TRUE)</f>
        <v>53</v>
      </c>
      <c r="T305">
        <f t="shared" si="155"/>
        <v>0</v>
      </c>
      <c r="U305">
        <f t="shared" si="156"/>
        <v>0</v>
      </c>
      <c r="AH305">
        <v>27</v>
      </c>
      <c r="BJ305" s="111">
        <v>41001</v>
      </c>
      <c r="BK305" s="2">
        <v>39882</v>
      </c>
    </row>
    <row r="306" spans="2:63" ht="12.75" hidden="1">
      <c r="B306">
        <f t="shared" si="157"/>
        <v>23</v>
      </c>
      <c r="C306" s="111">
        <f>VLOOKUP(B306,B244:Y275,2,TRUE)</f>
        <v>0</v>
      </c>
      <c r="D306">
        <f>VLOOKUP(B306,B244:Y275,3,TRUE)</f>
        <v>0</v>
      </c>
      <c r="E306" s="111">
        <f>VLOOKUP(B306,B244:Y275,4,TRUE)</f>
        <v>40817.01</v>
      </c>
      <c r="F306" t="e">
        <f>VLOOKUP(B306,B244:Y275,5,TRUE)</f>
        <v>#N/A</v>
      </c>
      <c r="G306" t="e">
        <f>VLOOKUP(B306,B244:Y275,6,TRUE)</f>
        <v>#N/A</v>
      </c>
      <c r="H306">
        <f>VLOOKUP(B306,B244:Y275,7,TRUE)</f>
        <v>0</v>
      </c>
      <c r="I306">
        <f>VLOOKUP(B306,B244:Y275,8,TRUE)</f>
        <v>10</v>
      </c>
      <c r="J306">
        <f>VLOOKUP(B306,B244:Y275,9,TRUE)</f>
        <v>0</v>
      </c>
      <c r="K306">
        <f>VLOOKUP(B306,B244:Y275,10,TRUE)</f>
        <v>31</v>
      </c>
      <c r="L306">
        <f>VLOOKUP(B306,B244:Y275,11,TRUE)</f>
        <v>0</v>
      </c>
      <c r="M306">
        <f>VLOOKUP(B306,B244:Y275,12,TRUE)</f>
        <v>0</v>
      </c>
      <c r="N306" t="e">
        <f>VLOOKUP(B306,B244:Y275,13,TRUE)</f>
        <v>#N/A</v>
      </c>
      <c r="O306" t="e">
        <f>VLOOKUP(B306,B244:Y275,14,TRUE)</f>
        <v>#N/A</v>
      </c>
      <c r="P306" t="e">
        <f>VLOOKUP(B306,B244:Y275,15,TRUE)</f>
        <v>#N/A</v>
      </c>
      <c r="Q306" t="e">
        <f>VLOOKUP(B306,B244:Y275,16,TRUE)</f>
        <v>#N/A</v>
      </c>
      <c r="R306" t="e">
        <f>VLOOKUP(B306,B244:Y275,17,TRUE)</f>
        <v>#N/A</v>
      </c>
      <c r="S306" t="e">
        <f>VLOOKUP(B306,B244:Y275,18,TRUE)</f>
        <v>#N/A</v>
      </c>
      <c r="T306">
        <f t="shared" si="155"/>
        <v>0</v>
      </c>
      <c r="U306">
        <f t="shared" si="156"/>
        <v>0</v>
      </c>
      <c r="AH306">
        <v>28</v>
      </c>
      <c r="BJ306" s="111">
        <v>41002</v>
      </c>
      <c r="BK306" s="2">
        <v>39883</v>
      </c>
    </row>
    <row r="307" spans="2:63" ht="12.75" hidden="1">
      <c r="B307">
        <f t="shared" si="157"/>
        <v>24</v>
      </c>
      <c r="C307" s="111">
        <f>VLOOKUP(B307,B244:Y275,2,TRUE)</f>
        <v>0</v>
      </c>
      <c r="D307">
        <f>VLOOKUP(B307,B244:Y275,3,TRUE)</f>
        <v>0</v>
      </c>
      <c r="E307" s="111">
        <f>VLOOKUP(B307,B244:Y275,4,TRUE)</f>
        <v>40817.01</v>
      </c>
      <c r="F307" t="e">
        <f>VLOOKUP(B307,B244:Y275,5,TRUE)</f>
        <v>#N/A</v>
      </c>
      <c r="G307" t="e">
        <f>VLOOKUP(B307,B244:Y275,6,TRUE)</f>
        <v>#N/A</v>
      </c>
      <c r="H307">
        <f>VLOOKUP(B307,B244:Y275,7,TRUE)</f>
        <v>0</v>
      </c>
      <c r="I307">
        <f>VLOOKUP(B307,B244:Y275,8,TRUE)</f>
        <v>10</v>
      </c>
      <c r="J307">
        <f>VLOOKUP(B307,B244:Y275,9,TRUE)</f>
        <v>0</v>
      </c>
      <c r="K307">
        <f>VLOOKUP(B307,B244:Y275,10,TRUE)</f>
        <v>31</v>
      </c>
      <c r="L307">
        <f>VLOOKUP(B307,B244:Y275,11,TRUE)</f>
        <v>0</v>
      </c>
      <c r="M307">
        <f>VLOOKUP(B307,B244:Y275,12,TRUE)</f>
        <v>0</v>
      </c>
      <c r="N307" t="e">
        <f>VLOOKUP(B307,B244:Y275,13,TRUE)</f>
        <v>#N/A</v>
      </c>
      <c r="O307" t="e">
        <f>VLOOKUP(B307,B244:Y275,14,TRUE)</f>
        <v>#N/A</v>
      </c>
      <c r="P307" t="e">
        <f>VLOOKUP(B307,B244:Y275,15,TRUE)</f>
        <v>#N/A</v>
      </c>
      <c r="Q307" t="e">
        <f>VLOOKUP(B307,B244:Y275,16,TRUE)</f>
        <v>#N/A</v>
      </c>
      <c r="R307" t="e">
        <f>VLOOKUP(B307,B244:Y275,17,TRUE)</f>
        <v>#N/A</v>
      </c>
      <c r="S307" t="e">
        <f>VLOOKUP(B307,B244:Y275,18,TRUE)</f>
        <v>#N/A</v>
      </c>
      <c r="T307">
        <f t="shared" si="155"/>
        <v>0</v>
      </c>
      <c r="U307">
        <f t="shared" si="156"/>
        <v>0</v>
      </c>
      <c r="AH307">
        <v>29</v>
      </c>
      <c r="BJ307" s="111">
        <v>41003</v>
      </c>
      <c r="BK307" s="2">
        <v>39884</v>
      </c>
    </row>
    <row r="308" spans="2:63" ht="12.75" hidden="1">
      <c r="B308">
        <f t="shared" si="157"/>
        <v>25</v>
      </c>
      <c r="C308" s="111">
        <f>VLOOKUP(B308,B244:Y275,2,TRUE)</f>
        <v>0</v>
      </c>
      <c r="D308">
        <f>VLOOKUP(B308,B244:Y275,3,TRUE)</f>
        <v>0</v>
      </c>
      <c r="E308" s="111">
        <f>VLOOKUP(B308,B244:Y275,4,TRUE)</f>
        <v>40817.01</v>
      </c>
      <c r="F308" t="e">
        <f>VLOOKUP(B308,B244:Y275,5,TRUE)</f>
        <v>#N/A</v>
      </c>
      <c r="G308" t="e">
        <f>VLOOKUP(B308,B244:Y275,6,TRUE)</f>
        <v>#N/A</v>
      </c>
      <c r="H308">
        <f>VLOOKUP(B308,B244:Y275,7,TRUE)</f>
        <v>0</v>
      </c>
      <c r="I308">
        <f>VLOOKUP(B308,B244:Y275,8,TRUE)</f>
        <v>10</v>
      </c>
      <c r="J308">
        <f>VLOOKUP(B308,B244:Y275,9,TRUE)</f>
        <v>0</v>
      </c>
      <c r="K308">
        <f>VLOOKUP(B308,B244:Y275,10,TRUE)</f>
        <v>31</v>
      </c>
      <c r="L308">
        <f>VLOOKUP(B308,B244:Y275,11,TRUE)</f>
        <v>0</v>
      </c>
      <c r="M308">
        <f>VLOOKUP(B308,B244:Y275,12,TRUE)</f>
        <v>0</v>
      </c>
      <c r="N308" t="e">
        <f>VLOOKUP(B308,B244:Y275,13,TRUE)</f>
        <v>#N/A</v>
      </c>
      <c r="O308" t="e">
        <f>VLOOKUP(B308,B244:Y275,14,TRUE)</f>
        <v>#N/A</v>
      </c>
      <c r="P308" t="e">
        <f>VLOOKUP(B308,B244:Y275,15,TRUE)</f>
        <v>#N/A</v>
      </c>
      <c r="Q308" t="e">
        <f>VLOOKUP(B308,B244:Y275,16,TRUE)</f>
        <v>#N/A</v>
      </c>
      <c r="R308" t="e">
        <f>VLOOKUP(B308,B244:Y275,17,TRUE)</f>
        <v>#N/A</v>
      </c>
      <c r="S308" t="e">
        <f>VLOOKUP(B308,B244:Y275,18,TRUE)</f>
        <v>#N/A</v>
      </c>
      <c r="T308">
        <f t="shared" si="155"/>
        <v>0</v>
      </c>
      <c r="U308">
        <f t="shared" si="156"/>
        <v>0</v>
      </c>
      <c r="AH308">
        <v>30</v>
      </c>
      <c r="BJ308" s="111">
        <v>41004</v>
      </c>
      <c r="BK308" s="2">
        <v>39885</v>
      </c>
    </row>
    <row r="309" spans="2:63" ht="12.75" hidden="1">
      <c r="B309">
        <f t="shared" si="157"/>
        <v>26</v>
      </c>
      <c r="C309" s="111">
        <f>VLOOKUP(B309,B244:Y275,2,TRUE)</f>
        <v>0</v>
      </c>
      <c r="D309">
        <f>VLOOKUP(B309,B244:Y275,3,TRUE)</f>
        <v>0</v>
      </c>
      <c r="E309" s="111">
        <f>VLOOKUP(B309,B244:Y275,4,TRUE)</f>
        <v>40817.01</v>
      </c>
      <c r="F309" t="e">
        <f>VLOOKUP(B309,B244:Y275,5,TRUE)</f>
        <v>#N/A</v>
      </c>
      <c r="G309" t="e">
        <f>VLOOKUP(B309,B244:Y275,6,TRUE)</f>
        <v>#N/A</v>
      </c>
      <c r="H309">
        <f>VLOOKUP(B309,B244:Y275,7,TRUE)</f>
        <v>0</v>
      </c>
      <c r="I309">
        <f>VLOOKUP(B309,B244:Y275,8,TRUE)</f>
        <v>10</v>
      </c>
      <c r="J309">
        <f>VLOOKUP(B309,B244:Y275,9,TRUE)</f>
        <v>0</v>
      </c>
      <c r="K309">
        <f>VLOOKUP(B309,B244:Y275,10,TRUE)</f>
        <v>31</v>
      </c>
      <c r="L309">
        <f>VLOOKUP(B309,B244:Y275,11,TRUE)</f>
        <v>0</v>
      </c>
      <c r="M309">
        <f>VLOOKUP(B309,B244:Y275,12,TRUE)</f>
        <v>0</v>
      </c>
      <c r="N309" t="e">
        <f>VLOOKUP(B309,B244:Y275,13,TRUE)</f>
        <v>#N/A</v>
      </c>
      <c r="O309" t="e">
        <f>VLOOKUP(B309,B244:Y275,14,TRUE)</f>
        <v>#N/A</v>
      </c>
      <c r="P309" t="e">
        <f>VLOOKUP(B309,B244:Y275,15,TRUE)</f>
        <v>#N/A</v>
      </c>
      <c r="Q309" t="e">
        <f>VLOOKUP(B309,B244:Y275,16,TRUE)</f>
        <v>#N/A</v>
      </c>
      <c r="R309" t="e">
        <f>VLOOKUP(B309,B244:Y275,17,TRUE)</f>
        <v>#N/A</v>
      </c>
      <c r="S309" t="e">
        <f>VLOOKUP(B309,B244:Y275,18,TRUE)</f>
        <v>#N/A</v>
      </c>
      <c r="T309">
        <f t="shared" si="155"/>
        <v>0</v>
      </c>
      <c r="U309">
        <f t="shared" si="156"/>
        <v>0</v>
      </c>
      <c r="AH309">
        <v>31</v>
      </c>
      <c r="BJ309" s="111">
        <v>41005</v>
      </c>
      <c r="BK309" s="2">
        <v>39886</v>
      </c>
    </row>
    <row r="310" spans="2:63" ht="12.75" hidden="1">
      <c r="B310">
        <f t="shared" si="157"/>
        <v>27</v>
      </c>
      <c r="C310" s="111">
        <f>VLOOKUP(B310,B244:Y275,2,TRUE)</f>
        <v>0</v>
      </c>
      <c r="D310">
        <f>VLOOKUP(B310,B244:Y275,3,TRUE)</f>
        <v>0</v>
      </c>
      <c r="E310" s="111">
        <f>VLOOKUP(B310,B244:Y275,4,TRUE)</f>
        <v>40817.01</v>
      </c>
      <c r="F310" t="e">
        <f>VLOOKUP(B310,B244:Y275,5,TRUE)</f>
        <v>#N/A</v>
      </c>
      <c r="G310" t="e">
        <f>VLOOKUP(B310,B244:Y275,6,TRUE)</f>
        <v>#N/A</v>
      </c>
      <c r="H310">
        <f>VLOOKUP(B310,B244:Y275,7,TRUE)</f>
        <v>0</v>
      </c>
      <c r="I310">
        <f>VLOOKUP(B310,B244:Y275,8,TRUE)</f>
        <v>10</v>
      </c>
      <c r="J310">
        <f>VLOOKUP(B310,B244:Y275,9,TRUE)</f>
        <v>0</v>
      </c>
      <c r="K310">
        <f>VLOOKUP(B310,B244:Y275,10,TRUE)</f>
        <v>31</v>
      </c>
      <c r="L310">
        <f>VLOOKUP(B310,B244:Y275,11,TRUE)</f>
        <v>0</v>
      </c>
      <c r="M310">
        <f>VLOOKUP(B310,B244:Y275,12,TRUE)</f>
        <v>0</v>
      </c>
      <c r="N310" t="e">
        <f>VLOOKUP(B310,B244:Y275,13,TRUE)</f>
        <v>#N/A</v>
      </c>
      <c r="O310" t="e">
        <f>VLOOKUP(B310,B244:Y275,14,TRUE)</f>
        <v>#N/A</v>
      </c>
      <c r="P310" t="e">
        <f>VLOOKUP(B310,B244:Y275,15,TRUE)</f>
        <v>#N/A</v>
      </c>
      <c r="Q310" t="e">
        <f>VLOOKUP(B310,B244:Y275,16,TRUE)</f>
        <v>#N/A</v>
      </c>
      <c r="R310" t="e">
        <f>VLOOKUP(B310,B244:Y275,17,TRUE)</f>
        <v>#N/A</v>
      </c>
      <c r="S310" t="e">
        <f>VLOOKUP(B310,B244:Y275,18,TRUE)</f>
        <v>#N/A</v>
      </c>
      <c r="T310">
        <f t="shared" si="155"/>
        <v>0</v>
      </c>
      <c r="U310">
        <f t="shared" si="156"/>
        <v>0</v>
      </c>
      <c r="AH310">
        <v>32</v>
      </c>
      <c r="BJ310" s="111">
        <v>41006</v>
      </c>
      <c r="BK310" s="2">
        <v>39887</v>
      </c>
    </row>
    <row r="311" spans="2:63" ht="12.75" hidden="1">
      <c r="B311">
        <f t="shared" si="157"/>
        <v>28</v>
      </c>
      <c r="C311" s="111">
        <f>VLOOKUP(B311,B244:Y275,2,TRUE)</f>
        <v>0</v>
      </c>
      <c r="D311">
        <f>VLOOKUP(B311,B244:Y275,3,TRUE)</f>
        <v>0</v>
      </c>
      <c r="E311" s="111">
        <f>VLOOKUP(B311,B244:Y275,4,TRUE)</f>
        <v>40817.01</v>
      </c>
      <c r="F311" t="e">
        <f>VLOOKUP(B311,B244:Y275,5,TRUE)</f>
        <v>#N/A</v>
      </c>
      <c r="G311" t="e">
        <f>VLOOKUP(B311,B244:Y275,6,TRUE)</f>
        <v>#N/A</v>
      </c>
      <c r="H311">
        <f>VLOOKUP(B311,B244:Y275,7,TRUE)</f>
        <v>0</v>
      </c>
      <c r="I311">
        <f>VLOOKUP(B311,B244:Y275,8,TRUE)</f>
        <v>10</v>
      </c>
      <c r="J311">
        <f>VLOOKUP(B311,B244:Y275,9,TRUE)</f>
        <v>0</v>
      </c>
      <c r="K311">
        <f>VLOOKUP(B311,B244:Y275,10,TRUE)</f>
        <v>31</v>
      </c>
      <c r="L311">
        <f>VLOOKUP(B311,Y244:BB275,11,TRUE)</f>
        <v>0</v>
      </c>
      <c r="M311">
        <f>VLOOKUP(B311,B244:Y275,12,TRUE)</f>
        <v>0</v>
      </c>
      <c r="N311" t="e">
        <f>VLOOKUP(B311,B244:Y275,13,TRUE)</f>
        <v>#N/A</v>
      </c>
      <c r="O311" t="e">
        <f>VLOOKUP(B311,B244:Y275,14,TRUE)</f>
        <v>#N/A</v>
      </c>
      <c r="P311" t="e">
        <f>VLOOKUP(B311,B244:Y275,15,TRUE)</f>
        <v>#N/A</v>
      </c>
      <c r="Q311" t="e">
        <f>VLOOKUP(B311,B244:Y275,16,TRUE)</f>
        <v>#N/A</v>
      </c>
      <c r="R311" t="e">
        <f>VLOOKUP(B311,B244:Y275,17,TRUE)</f>
        <v>#N/A</v>
      </c>
      <c r="S311" t="e">
        <f>VLOOKUP(B311,B244:Y275,18,TRUE)</f>
        <v>#N/A</v>
      </c>
      <c r="T311">
        <f t="shared" si="155"/>
        <v>0</v>
      </c>
      <c r="U311">
        <f t="shared" si="156"/>
        <v>0</v>
      </c>
      <c r="AH311">
        <v>33</v>
      </c>
      <c r="BJ311" s="111">
        <v>41007</v>
      </c>
      <c r="BK311" s="2">
        <v>39888</v>
      </c>
    </row>
    <row r="312" spans="3:63" ht="12.75" hidden="1">
      <c r="C312" s="111"/>
      <c r="E312" s="111"/>
      <c r="AH312">
        <v>34</v>
      </c>
      <c r="BJ312" s="111">
        <v>41008</v>
      </c>
      <c r="BK312" s="2">
        <v>39889</v>
      </c>
    </row>
    <row r="313" spans="2:63" ht="12.75" hidden="1">
      <c r="B313">
        <f>B301</f>
        <v>18</v>
      </c>
      <c r="C313" s="111">
        <f>C301</f>
        <v>40695</v>
      </c>
      <c r="D313">
        <f>D301</f>
        <v>30</v>
      </c>
      <c r="E313" s="111">
        <f>IF(C301=0,0,E301)</f>
        <v>40724</v>
      </c>
      <c r="F313">
        <f>IF(C301=0,0,F301)</f>
        <v>12910</v>
      </c>
      <c r="G313">
        <f>IF(C301=0,0,G301)</f>
        <v>12910</v>
      </c>
      <c r="H313">
        <f>IF(C301=0,0,H301)</f>
        <v>29.96</v>
      </c>
      <c r="I313">
        <f>IF(C301=0,0,I301)</f>
        <v>12</v>
      </c>
      <c r="J313">
        <f>IF(C301=0,0,J301)</f>
        <v>12</v>
      </c>
      <c r="K313">
        <f>IF(C301=0,0,K301)</f>
        <v>30</v>
      </c>
      <c r="L313">
        <f>IF(C301=0,0,L301)</f>
        <v>0</v>
      </c>
      <c r="M313">
        <f>IF(C301=0,0,M301)</f>
        <v>0</v>
      </c>
      <c r="N313">
        <f>IF(C301=0,0,N301)</f>
        <v>12910</v>
      </c>
      <c r="O313">
        <f>IF(C301=0,0,O301)</f>
        <v>12910</v>
      </c>
      <c r="P313">
        <f>IF(C301=0,0,P301)</f>
        <v>3868</v>
      </c>
      <c r="Q313">
        <f>IF(C301=0,0,Q301)</f>
        <v>1549</v>
      </c>
      <c r="R313">
        <f>IF(C301=0,0,R301)</f>
        <v>3868</v>
      </c>
      <c r="S313">
        <f>IF(C301=0,0,S301)</f>
        <v>1549</v>
      </c>
      <c r="T313">
        <f aca="true" t="shared" si="158" ref="T313:T323">IF(C313=0,0,T301)</f>
        <v>0</v>
      </c>
      <c r="U313">
        <f aca="true" t="shared" si="159" ref="U313:U323">IF(D313=0,0,U301)</f>
        <v>0</v>
      </c>
      <c r="AH313">
        <v>35</v>
      </c>
      <c r="BJ313" s="111">
        <v>41009</v>
      </c>
      <c r="BK313" s="2">
        <v>39890</v>
      </c>
    </row>
    <row r="314" spans="2:63" ht="12.75" hidden="1">
      <c r="B314">
        <f aca="true" t="shared" si="160" ref="B314:D323">B302</f>
        <v>19</v>
      </c>
      <c r="C314" s="111">
        <f t="shared" si="160"/>
        <v>40725</v>
      </c>
      <c r="D314">
        <f t="shared" si="160"/>
        <v>31</v>
      </c>
      <c r="E314" s="111">
        <f aca="true" t="shared" si="161" ref="E314:E323">IF(C302=0,0,E302)</f>
        <v>40755</v>
      </c>
      <c r="F314">
        <f aca="true" t="shared" si="162" ref="F314:F323">IF(C302=0,0,F302)</f>
        <v>12910</v>
      </c>
      <c r="G314">
        <f aca="true" t="shared" si="163" ref="G314:G323">IF(C302=0,0,G302)</f>
        <v>12910</v>
      </c>
      <c r="H314">
        <f aca="true" t="shared" si="164" ref="H314:H323">IF(C302=0,0,H302)</f>
        <v>29.96</v>
      </c>
      <c r="I314">
        <f aca="true" t="shared" si="165" ref="I314:I323">IF(C302=0,0,I302)</f>
        <v>12</v>
      </c>
      <c r="J314">
        <f aca="true" t="shared" si="166" ref="J314:J323">IF(C302=0,0,J302)</f>
        <v>12</v>
      </c>
      <c r="K314">
        <f aca="true" t="shared" si="167" ref="K314:K323">IF(C302=0,0,K302)</f>
        <v>31</v>
      </c>
      <c r="L314">
        <f aca="true" t="shared" si="168" ref="L314:L323">IF(C302=0,0,L302)</f>
        <v>0</v>
      </c>
      <c r="M314">
        <f aca="true" t="shared" si="169" ref="M314:M323">IF(C302=0,0,M302)</f>
        <v>0</v>
      </c>
      <c r="N314">
        <f aca="true" t="shared" si="170" ref="N314:N323">IF(C302=0,0,N302)</f>
        <v>12910</v>
      </c>
      <c r="O314">
        <f aca="true" t="shared" si="171" ref="O314:O323">IF(C302=0,0,O302)</f>
        <v>12910</v>
      </c>
      <c r="P314">
        <f aca="true" t="shared" si="172" ref="P314:P323">IF(C302=0,0,P302)</f>
        <v>3868</v>
      </c>
      <c r="Q314">
        <f aca="true" t="shared" si="173" ref="Q314:Q323">IF(C302=0,0,Q302)</f>
        <v>1549</v>
      </c>
      <c r="R314">
        <f aca="true" t="shared" si="174" ref="R314:R323">IF(C302=0,0,R302)</f>
        <v>3868</v>
      </c>
      <c r="S314">
        <f aca="true" t="shared" si="175" ref="S314:S323">IF(C302=0,0,S302)</f>
        <v>1549</v>
      </c>
      <c r="T314">
        <f t="shared" si="158"/>
        <v>0</v>
      </c>
      <c r="U314">
        <f t="shared" si="159"/>
        <v>0</v>
      </c>
      <c r="AH314">
        <v>36</v>
      </c>
      <c r="BJ314" s="111">
        <v>41010</v>
      </c>
      <c r="BK314" s="2">
        <v>39891</v>
      </c>
    </row>
    <row r="315" spans="2:63" ht="12.75" hidden="1">
      <c r="B315">
        <f t="shared" si="160"/>
        <v>20</v>
      </c>
      <c r="C315" s="111">
        <f t="shared" si="160"/>
        <v>40756</v>
      </c>
      <c r="D315">
        <f t="shared" si="160"/>
        <v>31</v>
      </c>
      <c r="E315" s="111">
        <f t="shared" si="161"/>
        <v>40786</v>
      </c>
      <c r="F315">
        <f t="shared" si="162"/>
        <v>12910</v>
      </c>
      <c r="G315">
        <f t="shared" si="163"/>
        <v>12910</v>
      </c>
      <c r="H315">
        <f t="shared" si="164"/>
        <v>29.96</v>
      </c>
      <c r="I315">
        <f t="shared" si="165"/>
        <v>12</v>
      </c>
      <c r="J315">
        <f t="shared" si="166"/>
        <v>12</v>
      </c>
      <c r="K315">
        <f t="shared" si="167"/>
        <v>31</v>
      </c>
      <c r="L315">
        <f t="shared" si="168"/>
        <v>0</v>
      </c>
      <c r="M315">
        <f t="shared" si="169"/>
        <v>0</v>
      </c>
      <c r="N315">
        <f t="shared" si="170"/>
        <v>12910</v>
      </c>
      <c r="O315">
        <f t="shared" si="171"/>
        <v>12910</v>
      </c>
      <c r="P315">
        <f t="shared" si="172"/>
        <v>3868</v>
      </c>
      <c r="Q315">
        <f t="shared" si="173"/>
        <v>1549</v>
      </c>
      <c r="R315">
        <f t="shared" si="174"/>
        <v>3868</v>
      </c>
      <c r="S315">
        <f t="shared" si="175"/>
        <v>1549</v>
      </c>
      <c r="T315">
        <f t="shared" si="158"/>
        <v>0</v>
      </c>
      <c r="U315">
        <f t="shared" si="159"/>
        <v>0</v>
      </c>
      <c r="AH315">
        <v>37</v>
      </c>
      <c r="BJ315" s="111">
        <v>41011</v>
      </c>
      <c r="BK315" s="2">
        <v>39892</v>
      </c>
    </row>
    <row r="316" spans="2:63" ht="12.75" hidden="1">
      <c r="B316">
        <f t="shared" si="160"/>
        <v>21</v>
      </c>
      <c r="C316" s="111">
        <f t="shared" si="160"/>
        <v>40787</v>
      </c>
      <c r="D316">
        <f t="shared" si="160"/>
        <v>30</v>
      </c>
      <c r="E316" s="111">
        <f t="shared" si="161"/>
        <v>40816</v>
      </c>
      <c r="F316">
        <f t="shared" si="162"/>
        <v>12910</v>
      </c>
      <c r="G316">
        <f t="shared" si="163"/>
        <v>12910</v>
      </c>
      <c r="H316">
        <f t="shared" si="164"/>
        <v>29.96</v>
      </c>
      <c r="I316">
        <f t="shared" si="165"/>
        <v>12</v>
      </c>
      <c r="J316">
        <f t="shared" si="166"/>
        <v>12</v>
      </c>
      <c r="K316">
        <f t="shared" si="167"/>
        <v>30</v>
      </c>
      <c r="L316">
        <f t="shared" si="168"/>
        <v>0</v>
      </c>
      <c r="M316">
        <f t="shared" si="169"/>
        <v>0</v>
      </c>
      <c r="N316">
        <f t="shared" si="170"/>
        <v>12910</v>
      </c>
      <c r="O316">
        <f t="shared" si="171"/>
        <v>12910</v>
      </c>
      <c r="P316">
        <f t="shared" si="172"/>
        <v>3868</v>
      </c>
      <c r="Q316">
        <f t="shared" si="173"/>
        <v>1549</v>
      </c>
      <c r="R316">
        <f t="shared" si="174"/>
        <v>3868</v>
      </c>
      <c r="S316">
        <f t="shared" si="175"/>
        <v>1549</v>
      </c>
      <c r="T316">
        <f t="shared" si="158"/>
        <v>0</v>
      </c>
      <c r="U316">
        <f t="shared" si="159"/>
        <v>0</v>
      </c>
      <c r="AH316">
        <v>38</v>
      </c>
      <c r="BJ316" s="111">
        <v>41012</v>
      </c>
      <c r="BK316" s="2">
        <v>39893</v>
      </c>
    </row>
    <row r="317" spans="2:63" ht="12.75" hidden="1">
      <c r="B317">
        <f t="shared" si="160"/>
        <v>22</v>
      </c>
      <c r="C317" s="111">
        <f t="shared" si="160"/>
        <v>40817</v>
      </c>
      <c r="D317">
        <f t="shared" si="160"/>
        <v>1</v>
      </c>
      <c r="E317" s="111">
        <f t="shared" si="161"/>
        <v>40817.01</v>
      </c>
      <c r="F317">
        <f t="shared" si="162"/>
        <v>13660</v>
      </c>
      <c r="G317">
        <f t="shared" si="163"/>
        <v>13660</v>
      </c>
      <c r="H317">
        <f t="shared" si="164"/>
        <v>29.96</v>
      </c>
      <c r="I317">
        <f t="shared" si="165"/>
        <v>12</v>
      </c>
      <c r="J317">
        <f t="shared" si="166"/>
        <v>12</v>
      </c>
      <c r="K317">
        <f t="shared" si="167"/>
        <v>31</v>
      </c>
      <c r="L317">
        <f t="shared" si="168"/>
        <v>0</v>
      </c>
      <c r="M317">
        <f t="shared" si="169"/>
        <v>0</v>
      </c>
      <c r="N317">
        <f t="shared" si="170"/>
        <v>441</v>
      </c>
      <c r="O317">
        <f t="shared" si="171"/>
        <v>441</v>
      </c>
      <c r="P317">
        <f t="shared" si="172"/>
        <v>132</v>
      </c>
      <c r="Q317">
        <f t="shared" si="173"/>
        <v>53</v>
      </c>
      <c r="R317">
        <f t="shared" si="174"/>
        <v>132</v>
      </c>
      <c r="S317">
        <f t="shared" si="175"/>
        <v>53</v>
      </c>
      <c r="T317">
        <f t="shared" si="158"/>
        <v>0</v>
      </c>
      <c r="U317">
        <f t="shared" si="159"/>
        <v>0</v>
      </c>
      <c r="AH317">
        <v>39</v>
      </c>
      <c r="BJ317" s="111">
        <v>41013</v>
      </c>
      <c r="BK317" s="2">
        <v>39894</v>
      </c>
    </row>
    <row r="318" spans="2:63" ht="12.75" hidden="1">
      <c r="B318">
        <f t="shared" si="160"/>
        <v>23</v>
      </c>
      <c r="C318" s="111">
        <f t="shared" si="160"/>
        <v>0</v>
      </c>
      <c r="D318">
        <f t="shared" si="160"/>
        <v>0</v>
      </c>
      <c r="E318" s="111">
        <f t="shared" si="161"/>
        <v>0</v>
      </c>
      <c r="F318">
        <f t="shared" si="162"/>
        <v>0</v>
      </c>
      <c r="G318">
        <f t="shared" si="163"/>
        <v>0</v>
      </c>
      <c r="H318">
        <f t="shared" si="164"/>
        <v>0</v>
      </c>
      <c r="I318">
        <f t="shared" si="165"/>
        <v>0</v>
      </c>
      <c r="J318">
        <f t="shared" si="166"/>
        <v>0</v>
      </c>
      <c r="K318">
        <f t="shared" si="167"/>
        <v>0</v>
      </c>
      <c r="L318">
        <f t="shared" si="168"/>
        <v>0</v>
      </c>
      <c r="M318">
        <f t="shared" si="169"/>
        <v>0</v>
      </c>
      <c r="N318">
        <f t="shared" si="170"/>
        <v>0</v>
      </c>
      <c r="O318">
        <f t="shared" si="171"/>
        <v>0</v>
      </c>
      <c r="P318">
        <f t="shared" si="172"/>
        <v>0</v>
      </c>
      <c r="Q318">
        <f t="shared" si="173"/>
        <v>0</v>
      </c>
      <c r="R318">
        <f t="shared" si="174"/>
        <v>0</v>
      </c>
      <c r="S318">
        <f t="shared" si="175"/>
        <v>0</v>
      </c>
      <c r="T318">
        <f t="shared" si="158"/>
        <v>0</v>
      </c>
      <c r="U318">
        <f t="shared" si="159"/>
        <v>0</v>
      </c>
      <c r="AH318">
        <v>40</v>
      </c>
      <c r="BJ318" s="111">
        <v>41014</v>
      </c>
      <c r="BK318" s="2">
        <v>39895</v>
      </c>
    </row>
    <row r="319" spans="2:63" ht="12.75" hidden="1">
      <c r="B319">
        <f t="shared" si="160"/>
        <v>24</v>
      </c>
      <c r="C319" s="111">
        <f t="shared" si="160"/>
        <v>0</v>
      </c>
      <c r="D319">
        <f t="shared" si="160"/>
        <v>0</v>
      </c>
      <c r="E319" s="111">
        <f t="shared" si="161"/>
        <v>0</v>
      </c>
      <c r="F319">
        <f t="shared" si="162"/>
        <v>0</v>
      </c>
      <c r="G319">
        <f t="shared" si="163"/>
        <v>0</v>
      </c>
      <c r="H319">
        <f t="shared" si="164"/>
        <v>0</v>
      </c>
      <c r="I319">
        <f t="shared" si="165"/>
        <v>0</v>
      </c>
      <c r="J319">
        <f t="shared" si="166"/>
        <v>0</v>
      </c>
      <c r="K319">
        <f t="shared" si="167"/>
        <v>0</v>
      </c>
      <c r="L319">
        <f t="shared" si="168"/>
        <v>0</v>
      </c>
      <c r="M319">
        <f t="shared" si="169"/>
        <v>0</v>
      </c>
      <c r="N319">
        <f t="shared" si="170"/>
        <v>0</v>
      </c>
      <c r="O319">
        <f t="shared" si="171"/>
        <v>0</v>
      </c>
      <c r="P319">
        <f t="shared" si="172"/>
        <v>0</v>
      </c>
      <c r="Q319">
        <f t="shared" si="173"/>
        <v>0</v>
      </c>
      <c r="R319">
        <f t="shared" si="174"/>
        <v>0</v>
      </c>
      <c r="S319">
        <f t="shared" si="175"/>
        <v>0</v>
      </c>
      <c r="T319">
        <f t="shared" si="158"/>
        <v>0</v>
      </c>
      <c r="U319">
        <f t="shared" si="159"/>
        <v>0</v>
      </c>
      <c r="AH319">
        <v>41</v>
      </c>
      <c r="BJ319" s="111">
        <v>41015</v>
      </c>
      <c r="BK319" s="2">
        <v>39896</v>
      </c>
    </row>
    <row r="320" spans="2:63" ht="12.75" hidden="1">
      <c r="B320">
        <f t="shared" si="160"/>
        <v>25</v>
      </c>
      <c r="C320" s="111">
        <f t="shared" si="160"/>
        <v>0</v>
      </c>
      <c r="D320">
        <f t="shared" si="160"/>
        <v>0</v>
      </c>
      <c r="E320" s="111">
        <f t="shared" si="161"/>
        <v>0</v>
      </c>
      <c r="F320">
        <f t="shared" si="162"/>
        <v>0</v>
      </c>
      <c r="G320">
        <f t="shared" si="163"/>
        <v>0</v>
      </c>
      <c r="H320">
        <f t="shared" si="164"/>
        <v>0</v>
      </c>
      <c r="I320">
        <f t="shared" si="165"/>
        <v>0</v>
      </c>
      <c r="J320">
        <f t="shared" si="166"/>
        <v>0</v>
      </c>
      <c r="K320">
        <f t="shared" si="167"/>
        <v>0</v>
      </c>
      <c r="L320">
        <f t="shared" si="168"/>
        <v>0</v>
      </c>
      <c r="M320">
        <f t="shared" si="169"/>
        <v>0</v>
      </c>
      <c r="N320">
        <f t="shared" si="170"/>
        <v>0</v>
      </c>
      <c r="O320">
        <f t="shared" si="171"/>
        <v>0</v>
      </c>
      <c r="P320">
        <f t="shared" si="172"/>
        <v>0</v>
      </c>
      <c r="Q320">
        <f t="shared" si="173"/>
        <v>0</v>
      </c>
      <c r="R320">
        <f t="shared" si="174"/>
        <v>0</v>
      </c>
      <c r="S320">
        <f t="shared" si="175"/>
        <v>0</v>
      </c>
      <c r="T320">
        <f t="shared" si="158"/>
        <v>0</v>
      </c>
      <c r="U320">
        <f t="shared" si="159"/>
        <v>0</v>
      </c>
      <c r="AH320">
        <v>42</v>
      </c>
      <c r="BJ320" s="111">
        <v>41016</v>
      </c>
      <c r="BK320" s="2">
        <v>39897</v>
      </c>
    </row>
    <row r="321" spans="2:63" ht="12.75" hidden="1">
      <c r="B321">
        <f t="shared" si="160"/>
        <v>26</v>
      </c>
      <c r="C321" s="111">
        <f t="shared" si="160"/>
        <v>0</v>
      </c>
      <c r="D321">
        <f t="shared" si="160"/>
        <v>0</v>
      </c>
      <c r="E321" s="111">
        <f t="shared" si="161"/>
        <v>0</v>
      </c>
      <c r="F321">
        <f t="shared" si="162"/>
        <v>0</v>
      </c>
      <c r="G321">
        <f t="shared" si="163"/>
        <v>0</v>
      </c>
      <c r="H321">
        <f t="shared" si="164"/>
        <v>0</v>
      </c>
      <c r="I321">
        <f t="shared" si="165"/>
        <v>0</v>
      </c>
      <c r="J321">
        <f t="shared" si="166"/>
        <v>0</v>
      </c>
      <c r="K321">
        <f t="shared" si="167"/>
        <v>0</v>
      </c>
      <c r="L321">
        <f t="shared" si="168"/>
        <v>0</v>
      </c>
      <c r="M321">
        <f t="shared" si="169"/>
        <v>0</v>
      </c>
      <c r="N321">
        <f t="shared" si="170"/>
        <v>0</v>
      </c>
      <c r="O321">
        <f t="shared" si="171"/>
        <v>0</v>
      </c>
      <c r="P321">
        <f t="shared" si="172"/>
        <v>0</v>
      </c>
      <c r="Q321">
        <f t="shared" si="173"/>
        <v>0</v>
      </c>
      <c r="R321">
        <f t="shared" si="174"/>
        <v>0</v>
      </c>
      <c r="S321">
        <f t="shared" si="175"/>
        <v>0</v>
      </c>
      <c r="T321">
        <f t="shared" si="158"/>
        <v>0</v>
      </c>
      <c r="U321">
        <f t="shared" si="159"/>
        <v>0</v>
      </c>
      <c r="AH321">
        <v>43</v>
      </c>
      <c r="BJ321" s="111">
        <v>41017</v>
      </c>
      <c r="BK321" s="2">
        <v>39898</v>
      </c>
    </row>
    <row r="322" spans="2:63" ht="12.75" hidden="1">
      <c r="B322">
        <f t="shared" si="160"/>
        <v>27</v>
      </c>
      <c r="C322" s="111">
        <f t="shared" si="160"/>
        <v>0</v>
      </c>
      <c r="D322">
        <f t="shared" si="160"/>
        <v>0</v>
      </c>
      <c r="E322" s="111">
        <f t="shared" si="161"/>
        <v>0</v>
      </c>
      <c r="F322">
        <f t="shared" si="162"/>
        <v>0</v>
      </c>
      <c r="G322">
        <f t="shared" si="163"/>
        <v>0</v>
      </c>
      <c r="H322">
        <f t="shared" si="164"/>
        <v>0</v>
      </c>
      <c r="I322">
        <f t="shared" si="165"/>
        <v>0</v>
      </c>
      <c r="J322">
        <f t="shared" si="166"/>
        <v>0</v>
      </c>
      <c r="K322">
        <f t="shared" si="167"/>
        <v>0</v>
      </c>
      <c r="L322">
        <f t="shared" si="168"/>
        <v>0</v>
      </c>
      <c r="M322">
        <f t="shared" si="169"/>
        <v>0</v>
      </c>
      <c r="N322">
        <f t="shared" si="170"/>
        <v>0</v>
      </c>
      <c r="O322">
        <f t="shared" si="171"/>
        <v>0</v>
      </c>
      <c r="P322">
        <f t="shared" si="172"/>
        <v>0</v>
      </c>
      <c r="Q322">
        <f t="shared" si="173"/>
        <v>0</v>
      </c>
      <c r="R322">
        <f t="shared" si="174"/>
        <v>0</v>
      </c>
      <c r="S322">
        <f t="shared" si="175"/>
        <v>0</v>
      </c>
      <c r="T322">
        <f t="shared" si="158"/>
        <v>0</v>
      </c>
      <c r="U322">
        <f t="shared" si="159"/>
        <v>0</v>
      </c>
      <c r="AH322">
        <v>44</v>
      </c>
      <c r="BJ322" s="111">
        <v>41018</v>
      </c>
      <c r="BK322" s="2">
        <v>39899</v>
      </c>
    </row>
    <row r="323" spans="2:63" ht="12.75" hidden="1">
      <c r="B323">
        <f t="shared" si="160"/>
        <v>28</v>
      </c>
      <c r="C323" s="111">
        <f t="shared" si="160"/>
        <v>0</v>
      </c>
      <c r="D323">
        <f t="shared" si="160"/>
        <v>0</v>
      </c>
      <c r="E323" s="111">
        <f t="shared" si="161"/>
        <v>0</v>
      </c>
      <c r="F323">
        <f t="shared" si="162"/>
        <v>0</v>
      </c>
      <c r="G323">
        <f t="shared" si="163"/>
        <v>0</v>
      </c>
      <c r="H323">
        <f t="shared" si="164"/>
        <v>0</v>
      </c>
      <c r="I323">
        <f t="shared" si="165"/>
        <v>0</v>
      </c>
      <c r="J323">
        <f t="shared" si="166"/>
        <v>0</v>
      </c>
      <c r="K323">
        <f t="shared" si="167"/>
        <v>0</v>
      </c>
      <c r="L323">
        <f t="shared" si="168"/>
        <v>0</v>
      </c>
      <c r="M323">
        <f t="shared" si="169"/>
        <v>0</v>
      </c>
      <c r="N323">
        <f t="shared" si="170"/>
        <v>0</v>
      </c>
      <c r="O323">
        <f t="shared" si="171"/>
        <v>0</v>
      </c>
      <c r="P323">
        <f t="shared" si="172"/>
        <v>0</v>
      </c>
      <c r="Q323">
        <f t="shared" si="173"/>
        <v>0</v>
      </c>
      <c r="R323">
        <f t="shared" si="174"/>
        <v>0</v>
      </c>
      <c r="S323">
        <f t="shared" si="175"/>
        <v>0</v>
      </c>
      <c r="T323">
        <f t="shared" si="158"/>
        <v>0</v>
      </c>
      <c r="U323">
        <f t="shared" si="159"/>
        <v>0</v>
      </c>
      <c r="AH323">
        <v>45</v>
      </c>
      <c r="BJ323" s="111">
        <v>41019</v>
      </c>
      <c r="BK323" s="2">
        <v>39900</v>
      </c>
    </row>
    <row r="324" spans="3:63" ht="12.75" hidden="1">
      <c r="C324" s="111"/>
      <c r="E324" s="111"/>
      <c r="BJ324" s="111">
        <v>41020</v>
      </c>
      <c r="BK324" s="2">
        <v>39901</v>
      </c>
    </row>
    <row r="325" spans="3:63" ht="12.75" hidden="1">
      <c r="C325" s="111"/>
      <c r="E325" s="111"/>
      <c r="BJ325" s="111">
        <v>41021</v>
      </c>
      <c r="BK325" s="2">
        <v>39902</v>
      </c>
    </row>
    <row r="326" spans="3:63" ht="12.75" hidden="1">
      <c r="C326" s="111"/>
      <c r="E326" s="111"/>
      <c r="BJ326" s="111">
        <v>41022</v>
      </c>
      <c r="BK326" s="2">
        <v>39903</v>
      </c>
    </row>
    <row r="327" spans="3:63" ht="12.75" hidden="1">
      <c r="C327" s="111"/>
      <c r="E327" s="111"/>
      <c r="BJ327" s="111">
        <v>41023</v>
      </c>
      <c r="BK327" s="2">
        <v>39904</v>
      </c>
    </row>
    <row r="328" spans="3:63" ht="12.75" hidden="1">
      <c r="C328" s="111"/>
      <c r="E328" s="111"/>
      <c r="BJ328" s="111">
        <v>41024</v>
      </c>
      <c r="BK328" s="2">
        <v>39905</v>
      </c>
    </row>
    <row r="329" spans="3:63" ht="12.75" hidden="1">
      <c r="C329" s="111"/>
      <c r="E329" s="111"/>
      <c r="BJ329" s="111">
        <v>41025</v>
      </c>
      <c r="BK329" s="2">
        <v>39906</v>
      </c>
    </row>
    <row r="330" spans="62:63" ht="12.75" hidden="1">
      <c r="BJ330" s="111">
        <v>41026</v>
      </c>
      <c r="BK330" s="2">
        <v>39907</v>
      </c>
    </row>
    <row r="331" spans="62:63" ht="12.75" hidden="1">
      <c r="BJ331" s="111">
        <v>41027</v>
      </c>
      <c r="BK331" s="2">
        <v>39908</v>
      </c>
    </row>
    <row r="332" spans="62:63" ht="12.75" hidden="1">
      <c r="BJ332" s="111">
        <v>41028</v>
      </c>
      <c r="BK332" s="2">
        <v>39909</v>
      </c>
    </row>
    <row r="333" spans="62:63" ht="12.75" hidden="1">
      <c r="BJ333" s="111">
        <v>41029</v>
      </c>
      <c r="BK333" s="2">
        <v>39910</v>
      </c>
    </row>
    <row r="334" spans="62:63" ht="12.75" hidden="1">
      <c r="BJ334" s="111">
        <v>41030</v>
      </c>
      <c r="BK334" s="2">
        <v>39911</v>
      </c>
    </row>
    <row r="335" ht="12.75" hidden="1">
      <c r="BK335" s="2">
        <v>39912</v>
      </c>
    </row>
    <row r="336" ht="12.75" hidden="1">
      <c r="BK336" s="2">
        <v>39913</v>
      </c>
    </row>
    <row r="337" ht="12.75" hidden="1">
      <c r="BK337" s="2">
        <v>39914</v>
      </c>
    </row>
    <row r="338" spans="25:63" ht="12.75" hidden="1">
      <c r="Y338" t="e">
        <f>SUM(BILL!#REF!)</f>
        <v>#REF!</v>
      </c>
      <c r="BK338" s="2">
        <v>39915</v>
      </c>
    </row>
    <row r="339" ht="12.75" hidden="1">
      <c r="BK339" s="2">
        <v>39916</v>
      </c>
    </row>
    <row r="340" ht="12.75" hidden="1">
      <c r="BK340" s="2">
        <v>39917</v>
      </c>
    </row>
    <row r="341" ht="12.75" hidden="1">
      <c r="BK341" s="2">
        <v>39918</v>
      </c>
    </row>
    <row r="342" ht="12.75" hidden="1">
      <c r="BK342" s="2">
        <v>39919</v>
      </c>
    </row>
    <row r="343" ht="12.75" hidden="1">
      <c r="BK343" s="2">
        <v>39920</v>
      </c>
    </row>
    <row r="344" ht="12.75" hidden="1">
      <c r="BK344" s="2">
        <v>39921</v>
      </c>
    </row>
    <row r="345" ht="12.75" hidden="1">
      <c r="BK345" s="2">
        <v>39922</v>
      </c>
    </row>
    <row r="346" ht="12.75" hidden="1">
      <c r="BK346" s="2">
        <v>39923</v>
      </c>
    </row>
    <row r="347" ht="12.75" hidden="1">
      <c r="BK347" s="2">
        <v>39924</v>
      </c>
    </row>
    <row r="348" ht="12.75" hidden="1">
      <c r="BK348" s="2">
        <v>39925</v>
      </c>
    </row>
    <row r="349" ht="12.75" hidden="1">
      <c r="BK349" s="2">
        <v>39926</v>
      </c>
    </row>
    <row r="350" ht="12.75" hidden="1">
      <c r="BK350" s="2">
        <v>39927</v>
      </c>
    </row>
    <row r="351" ht="12.75" hidden="1">
      <c r="BK351" s="2">
        <v>39928</v>
      </c>
    </row>
    <row r="352" ht="12.75" hidden="1">
      <c r="BK352" s="2">
        <v>39929</v>
      </c>
    </row>
    <row r="353" ht="12.75" hidden="1">
      <c r="BK353" s="2">
        <v>39930</v>
      </c>
    </row>
    <row r="354" spans="20:63" ht="12.75" hidden="1">
      <c r="T354" s="111"/>
      <c r="U354" s="111"/>
      <c r="BK354" s="2">
        <v>39931</v>
      </c>
    </row>
    <row r="355" spans="20:63" ht="12.75" hidden="1">
      <c r="T355" s="111"/>
      <c r="BK355" s="2">
        <v>39932</v>
      </c>
    </row>
    <row r="356" spans="20:63" ht="12.75" hidden="1">
      <c r="T356" s="111"/>
      <c r="BK356" s="2">
        <v>39933</v>
      </c>
    </row>
    <row r="357" spans="20:63" ht="12.75" hidden="1">
      <c r="T357" s="111"/>
      <c r="BK357" s="2">
        <v>39934</v>
      </c>
    </row>
    <row r="358" spans="20:63" ht="12.75" hidden="1">
      <c r="T358" s="111"/>
      <c r="BK358" s="2">
        <v>39935</v>
      </c>
    </row>
    <row r="359" spans="20:63" ht="12.75" hidden="1">
      <c r="T359" s="111"/>
      <c r="BK359" s="2">
        <v>39936</v>
      </c>
    </row>
    <row r="360" spans="20:63" ht="12.75" hidden="1">
      <c r="T360" s="111"/>
      <c r="BK360" s="2">
        <v>39937</v>
      </c>
    </row>
    <row r="361" spans="20:63" ht="12.75" hidden="1">
      <c r="T361" s="111"/>
      <c r="BK361" s="2">
        <v>39938</v>
      </c>
    </row>
    <row r="362" spans="20:63" ht="12.75" hidden="1">
      <c r="T362" s="111"/>
      <c r="BK362" s="2">
        <v>39939</v>
      </c>
    </row>
    <row r="363" spans="20:63" ht="12.75" hidden="1">
      <c r="T363" s="111"/>
      <c r="BK363" s="2">
        <v>39940</v>
      </c>
    </row>
    <row r="364" spans="20:63" ht="12.75" hidden="1">
      <c r="T364" s="111"/>
      <c r="BK364" s="2">
        <v>39941</v>
      </c>
    </row>
    <row r="365" spans="20:63" ht="12.75" hidden="1">
      <c r="T365" s="111"/>
      <c r="BK365" s="2">
        <v>39942</v>
      </c>
    </row>
    <row r="366" spans="20:63" ht="12.75" hidden="1">
      <c r="T366" s="111"/>
      <c r="BK366" s="2">
        <v>39943</v>
      </c>
    </row>
    <row r="367" spans="20:63" ht="12.75" hidden="1">
      <c r="T367" s="111"/>
      <c r="BK367" s="2">
        <v>39944</v>
      </c>
    </row>
    <row r="368" spans="20:63" ht="12.75" hidden="1">
      <c r="T368" s="111"/>
      <c r="BK368" s="2">
        <v>39945</v>
      </c>
    </row>
    <row r="369" spans="20:63" ht="12.75" hidden="1">
      <c r="T369" s="111"/>
      <c r="BK369" s="2">
        <v>39946</v>
      </c>
    </row>
    <row r="370" spans="20:63" ht="12.75" hidden="1">
      <c r="T370" s="111"/>
      <c r="BK370" s="2">
        <v>39947</v>
      </c>
    </row>
    <row r="371" spans="20:63" ht="12.75" hidden="1">
      <c r="T371" s="111"/>
      <c r="BK371" s="2">
        <v>39948</v>
      </c>
    </row>
    <row r="372" spans="20:63" ht="12.75" hidden="1">
      <c r="T372" s="111"/>
      <c r="BK372" s="2">
        <v>39949</v>
      </c>
    </row>
    <row r="373" spans="20:63" ht="12.75" hidden="1">
      <c r="T373" s="111"/>
      <c r="BK373" s="2">
        <v>39950</v>
      </c>
    </row>
    <row r="374" ht="12.75" hidden="1">
      <c r="BK374" s="2">
        <v>39951</v>
      </c>
    </row>
    <row r="375" ht="12.75" hidden="1">
      <c r="BK375" s="2">
        <v>39952</v>
      </c>
    </row>
    <row r="376" ht="12.75" hidden="1">
      <c r="BK376" s="2">
        <v>39953</v>
      </c>
    </row>
    <row r="377" ht="12.75" hidden="1">
      <c r="BK377" s="2">
        <v>39954</v>
      </c>
    </row>
    <row r="378" ht="12.75" hidden="1">
      <c r="BK378" s="2">
        <v>39955</v>
      </c>
    </row>
    <row r="379" ht="12.75" hidden="1">
      <c r="BK379" s="2">
        <v>39956</v>
      </c>
    </row>
    <row r="380" ht="12.75" hidden="1">
      <c r="BK380" s="2">
        <v>39957</v>
      </c>
    </row>
    <row r="381" ht="12.75" hidden="1">
      <c r="BK381" s="2">
        <v>39958</v>
      </c>
    </row>
    <row r="382" ht="12.75" hidden="1">
      <c r="BK382" s="2">
        <v>39959</v>
      </c>
    </row>
    <row r="383" ht="12.75" hidden="1">
      <c r="BK383" s="2">
        <v>39960</v>
      </c>
    </row>
    <row r="384" ht="12.75" hidden="1">
      <c r="BK384" s="2">
        <v>39961</v>
      </c>
    </row>
    <row r="385" ht="12.75" hidden="1">
      <c r="BK385" s="2">
        <v>39962</v>
      </c>
    </row>
    <row r="386" ht="12.75" hidden="1">
      <c r="BK386" s="2">
        <v>39963</v>
      </c>
    </row>
    <row r="387" ht="12.75" hidden="1">
      <c r="BK387" s="2">
        <v>39964</v>
      </c>
    </row>
    <row r="388" ht="12.75" hidden="1">
      <c r="BK388" s="2">
        <v>39965</v>
      </c>
    </row>
    <row r="389" ht="12.75" hidden="1">
      <c r="BK389" s="2">
        <v>39966</v>
      </c>
    </row>
    <row r="390" ht="12.75" hidden="1">
      <c r="BK390" s="2">
        <v>39967</v>
      </c>
    </row>
    <row r="391" ht="12.75" hidden="1">
      <c r="BK391" s="2">
        <v>39968</v>
      </c>
    </row>
    <row r="392" ht="12.75" hidden="1">
      <c r="BK392" s="2">
        <v>39969</v>
      </c>
    </row>
    <row r="393" ht="12.75" hidden="1">
      <c r="BK393" s="2">
        <v>39970</v>
      </c>
    </row>
    <row r="394" ht="12.75" hidden="1">
      <c r="BK394" s="2">
        <v>39971</v>
      </c>
    </row>
    <row r="395" ht="12.75" hidden="1">
      <c r="BK395" s="2">
        <v>39972</v>
      </c>
    </row>
    <row r="396" ht="12.75" hidden="1">
      <c r="BK396" s="2">
        <v>39973</v>
      </c>
    </row>
    <row r="397" ht="12.75" hidden="1">
      <c r="BK397" s="2">
        <v>39974</v>
      </c>
    </row>
    <row r="398" ht="12.75" hidden="1">
      <c r="BK398" s="2">
        <v>39975</v>
      </c>
    </row>
    <row r="399" ht="12.75" hidden="1">
      <c r="BK399" s="2">
        <v>39976</v>
      </c>
    </row>
    <row r="400" ht="12.75" hidden="1">
      <c r="BK400" s="2">
        <v>39977</v>
      </c>
    </row>
    <row r="401" ht="12.75" hidden="1">
      <c r="BK401" s="2">
        <v>39978</v>
      </c>
    </row>
    <row r="402" ht="12.75" hidden="1">
      <c r="BK402" s="2">
        <v>39979</v>
      </c>
    </row>
    <row r="403" ht="12.75" hidden="1">
      <c r="BK403" s="2">
        <v>39980</v>
      </c>
    </row>
    <row r="404" ht="12.75" hidden="1">
      <c r="BK404" s="2">
        <v>39981</v>
      </c>
    </row>
    <row r="405" ht="12.75" hidden="1">
      <c r="BK405" s="2">
        <v>39982</v>
      </c>
    </row>
    <row r="406" ht="12.75" hidden="1">
      <c r="BK406" s="2">
        <v>39983</v>
      </c>
    </row>
    <row r="407" ht="12.75" hidden="1">
      <c r="BK407" s="2">
        <v>39984</v>
      </c>
    </row>
    <row r="408" ht="12.75" hidden="1">
      <c r="BK408" s="2">
        <v>39985</v>
      </c>
    </row>
    <row r="409" ht="12.75" hidden="1">
      <c r="BK409" s="2">
        <v>39986</v>
      </c>
    </row>
    <row r="410" ht="12.75" hidden="1">
      <c r="BK410" s="2">
        <v>39987</v>
      </c>
    </row>
    <row r="411" ht="12.75" hidden="1">
      <c r="BK411" s="2">
        <v>39988</v>
      </c>
    </row>
    <row r="412" ht="12.75" hidden="1">
      <c r="BK412" s="2">
        <v>39989</v>
      </c>
    </row>
    <row r="413" ht="12.75" hidden="1">
      <c r="BK413" s="2">
        <v>39990</v>
      </c>
    </row>
    <row r="414" ht="12.75" hidden="1">
      <c r="BK414" s="2">
        <v>39991</v>
      </c>
    </row>
    <row r="415" ht="12.75" hidden="1">
      <c r="BK415" s="2">
        <v>39992</v>
      </c>
    </row>
    <row r="416" ht="12.75" hidden="1">
      <c r="BK416" s="2">
        <v>39993</v>
      </c>
    </row>
    <row r="417" ht="12.75" hidden="1">
      <c r="BK417" s="2">
        <v>39994</v>
      </c>
    </row>
    <row r="418" ht="12.75" hidden="1">
      <c r="BK418" s="2">
        <v>39995</v>
      </c>
    </row>
    <row r="419" ht="12.75" hidden="1">
      <c r="BK419" s="2">
        <v>39996</v>
      </c>
    </row>
    <row r="420" ht="12.75" hidden="1">
      <c r="BK420" s="2">
        <v>39997</v>
      </c>
    </row>
    <row r="421" ht="12.75" hidden="1">
      <c r="BK421" s="2">
        <v>39998</v>
      </c>
    </row>
    <row r="422" ht="12.75" hidden="1">
      <c r="BK422" s="2">
        <v>39999</v>
      </c>
    </row>
    <row r="423" ht="12.75" hidden="1">
      <c r="BK423" s="2">
        <v>40000</v>
      </c>
    </row>
    <row r="424" ht="12.75" hidden="1">
      <c r="BK424" s="2">
        <v>40001</v>
      </c>
    </row>
    <row r="425" ht="12.75" hidden="1">
      <c r="BK425" s="2">
        <v>40002</v>
      </c>
    </row>
    <row r="426" ht="12.75" hidden="1">
      <c r="BK426" s="2">
        <v>40003</v>
      </c>
    </row>
    <row r="427" ht="12.75" hidden="1">
      <c r="BK427" s="2">
        <v>40004</v>
      </c>
    </row>
    <row r="428" ht="12.75" hidden="1">
      <c r="BK428" s="2">
        <v>40005</v>
      </c>
    </row>
    <row r="429" ht="12.75" hidden="1">
      <c r="BK429" s="2">
        <v>40006</v>
      </c>
    </row>
    <row r="430" ht="12.75" hidden="1">
      <c r="BK430" s="2">
        <v>40007</v>
      </c>
    </row>
    <row r="431" ht="12.75" hidden="1">
      <c r="BK431" s="2">
        <v>40008</v>
      </c>
    </row>
    <row r="432" ht="12.75" hidden="1">
      <c r="BK432" s="2">
        <v>40009</v>
      </c>
    </row>
    <row r="433" ht="12.75" hidden="1">
      <c r="BK433" s="2">
        <v>40010</v>
      </c>
    </row>
    <row r="434" ht="12.75" hidden="1">
      <c r="BK434" s="2">
        <v>40011</v>
      </c>
    </row>
    <row r="435" ht="12.75" hidden="1">
      <c r="BK435" s="2">
        <v>40012</v>
      </c>
    </row>
    <row r="436" ht="12.75" hidden="1">
      <c r="BK436" s="2">
        <v>40013</v>
      </c>
    </row>
    <row r="437" ht="12.75" hidden="1">
      <c r="BK437" s="2">
        <v>40014</v>
      </c>
    </row>
    <row r="438" ht="12.75" hidden="1">
      <c r="BK438" s="2">
        <v>40015</v>
      </c>
    </row>
    <row r="439" ht="12.75" hidden="1">
      <c r="BK439" s="2">
        <v>40016</v>
      </c>
    </row>
    <row r="440" ht="12.75" hidden="1">
      <c r="BK440" s="2">
        <v>40017</v>
      </c>
    </row>
    <row r="441" ht="12.75" hidden="1">
      <c r="BK441" s="2">
        <v>40018</v>
      </c>
    </row>
    <row r="442" ht="12.75" hidden="1">
      <c r="BK442" s="2">
        <v>40019</v>
      </c>
    </row>
    <row r="443" ht="12.75" hidden="1">
      <c r="BK443" s="2">
        <v>40020</v>
      </c>
    </row>
    <row r="444" ht="12.75" hidden="1">
      <c r="BK444" s="2">
        <v>40021</v>
      </c>
    </row>
    <row r="445" ht="12.75" hidden="1">
      <c r="BK445" s="2">
        <v>40022</v>
      </c>
    </row>
    <row r="446" ht="12.75" hidden="1">
      <c r="BK446" s="2">
        <v>40023</v>
      </c>
    </row>
    <row r="447" ht="12.75" hidden="1">
      <c r="BK447" s="2">
        <v>40024</v>
      </c>
    </row>
    <row r="448" ht="12.75" hidden="1">
      <c r="BK448" s="2">
        <v>40025</v>
      </c>
    </row>
    <row r="449" ht="12.75" hidden="1">
      <c r="BK449" s="2">
        <v>40026</v>
      </c>
    </row>
    <row r="450" ht="12.75" hidden="1">
      <c r="BK450" s="2">
        <v>40027</v>
      </c>
    </row>
    <row r="451" ht="12.75" hidden="1">
      <c r="BK451" s="2">
        <v>40028</v>
      </c>
    </row>
    <row r="452" ht="12.75" hidden="1">
      <c r="BK452" s="2">
        <v>40029</v>
      </c>
    </row>
    <row r="453" ht="12.75" hidden="1">
      <c r="BK453" s="2">
        <v>40030</v>
      </c>
    </row>
    <row r="454" ht="12.75" hidden="1">
      <c r="BK454" s="2">
        <v>40031</v>
      </c>
    </row>
    <row r="455" ht="12.75" hidden="1">
      <c r="BK455" s="2">
        <v>40032</v>
      </c>
    </row>
    <row r="456" ht="12.75" hidden="1">
      <c r="BK456" s="2">
        <v>40033</v>
      </c>
    </row>
    <row r="457" ht="12.75" hidden="1">
      <c r="BK457" s="2">
        <v>40034</v>
      </c>
    </row>
    <row r="458" ht="12.75" hidden="1">
      <c r="BK458" s="2">
        <v>40035</v>
      </c>
    </row>
    <row r="459" ht="12.75" hidden="1">
      <c r="BK459" s="2">
        <v>40036</v>
      </c>
    </row>
    <row r="460" ht="12.75" hidden="1">
      <c r="BK460" s="2">
        <v>40037</v>
      </c>
    </row>
    <row r="461" ht="12.75" hidden="1">
      <c r="BK461" s="2">
        <v>40038</v>
      </c>
    </row>
    <row r="462" ht="12.75" hidden="1">
      <c r="BK462" s="2">
        <v>40039</v>
      </c>
    </row>
    <row r="463" ht="12.75" hidden="1">
      <c r="BK463" s="2">
        <v>40040</v>
      </c>
    </row>
    <row r="464" ht="12.75" hidden="1">
      <c r="BK464" s="2">
        <v>40041</v>
      </c>
    </row>
    <row r="465" ht="12.75" hidden="1">
      <c r="BK465" s="2">
        <v>40042</v>
      </c>
    </row>
    <row r="466" ht="12.75" hidden="1">
      <c r="BK466" s="2">
        <v>40043</v>
      </c>
    </row>
    <row r="467" ht="12.75" hidden="1">
      <c r="BK467" s="2">
        <v>40044</v>
      </c>
    </row>
    <row r="468" ht="12.75" hidden="1">
      <c r="BK468" s="2">
        <v>40045</v>
      </c>
    </row>
    <row r="469" ht="12.75" hidden="1">
      <c r="BK469" s="2">
        <v>40046</v>
      </c>
    </row>
    <row r="470" ht="12.75" hidden="1">
      <c r="BK470" s="2">
        <v>40047</v>
      </c>
    </row>
    <row r="471" ht="12.75" hidden="1">
      <c r="BK471" s="2">
        <v>40048</v>
      </c>
    </row>
    <row r="472" ht="12.75" hidden="1">
      <c r="BK472" s="2">
        <v>40049</v>
      </c>
    </row>
    <row r="473" ht="12.75" hidden="1">
      <c r="BK473" s="2">
        <v>40050</v>
      </c>
    </row>
    <row r="474" ht="12.75" hidden="1">
      <c r="BK474" s="2">
        <v>40051</v>
      </c>
    </row>
    <row r="475" ht="12.75" hidden="1">
      <c r="BK475" s="2">
        <v>40052</v>
      </c>
    </row>
    <row r="476" ht="12.75" hidden="1">
      <c r="BK476" s="2">
        <v>40053</v>
      </c>
    </row>
    <row r="477" ht="12.75" hidden="1">
      <c r="BK477" s="2">
        <v>40054</v>
      </c>
    </row>
    <row r="478" ht="12.75" hidden="1">
      <c r="BK478" s="2">
        <v>40055</v>
      </c>
    </row>
    <row r="479" ht="12.75" hidden="1">
      <c r="BK479" s="2">
        <v>40056</v>
      </c>
    </row>
    <row r="480" ht="12.75" hidden="1">
      <c r="BK480" s="2">
        <v>40057</v>
      </c>
    </row>
    <row r="481" ht="12.75" hidden="1">
      <c r="BK481" s="2">
        <v>40058</v>
      </c>
    </row>
    <row r="482" ht="12.75" hidden="1">
      <c r="BK482" s="2">
        <v>40059</v>
      </c>
    </row>
    <row r="483" ht="12.75" hidden="1">
      <c r="BK483" s="2">
        <v>40060</v>
      </c>
    </row>
    <row r="484" ht="12.75" hidden="1">
      <c r="BK484" s="2">
        <v>40061</v>
      </c>
    </row>
    <row r="485" ht="12.75" hidden="1">
      <c r="BK485" s="2">
        <v>40062</v>
      </c>
    </row>
    <row r="486" ht="12.75" hidden="1">
      <c r="BK486" s="2">
        <v>40063</v>
      </c>
    </row>
    <row r="487" ht="12.75" hidden="1">
      <c r="BK487" s="2">
        <v>40064</v>
      </c>
    </row>
    <row r="488" ht="12.75" hidden="1">
      <c r="BK488" s="2">
        <v>40065</v>
      </c>
    </row>
    <row r="489" ht="12.75" hidden="1">
      <c r="BK489" s="2">
        <v>40066</v>
      </c>
    </row>
    <row r="490" ht="12.75" hidden="1">
      <c r="BK490" s="2">
        <v>40067</v>
      </c>
    </row>
    <row r="491" ht="12.75" hidden="1">
      <c r="BK491" s="2">
        <v>40068</v>
      </c>
    </row>
    <row r="492" ht="12.75" hidden="1">
      <c r="BK492" s="2">
        <v>40069</v>
      </c>
    </row>
    <row r="493" ht="12.75" hidden="1">
      <c r="BK493" s="2">
        <v>40070</v>
      </c>
    </row>
    <row r="494" ht="12.75" hidden="1">
      <c r="BK494" s="2">
        <v>40071</v>
      </c>
    </row>
    <row r="495" ht="12.75" hidden="1">
      <c r="BK495" s="2">
        <v>40072</v>
      </c>
    </row>
    <row r="496" ht="12.75" hidden="1">
      <c r="BK496" s="2">
        <v>40073</v>
      </c>
    </row>
    <row r="497" ht="12.75" hidden="1">
      <c r="BK497" s="2">
        <v>40074</v>
      </c>
    </row>
    <row r="498" ht="12.75" hidden="1">
      <c r="BK498" s="2">
        <v>40075</v>
      </c>
    </row>
    <row r="499" ht="12.75" hidden="1">
      <c r="BK499" s="2">
        <v>40076</v>
      </c>
    </row>
    <row r="500" ht="12.75" hidden="1">
      <c r="BK500" s="2">
        <v>40077</v>
      </c>
    </row>
    <row r="501" ht="12.75" hidden="1">
      <c r="BK501" s="2">
        <v>40078</v>
      </c>
    </row>
    <row r="502" ht="12.75" hidden="1">
      <c r="BK502" s="2">
        <v>40079</v>
      </c>
    </row>
    <row r="503" ht="12.75" hidden="1">
      <c r="BK503" s="2">
        <v>40080</v>
      </c>
    </row>
    <row r="504" ht="12.75" hidden="1">
      <c r="BK504" s="2">
        <v>40081</v>
      </c>
    </row>
    <row r="505" ht="12.75" hidden="1">
      <c r="BK505" s="2">
        <v>40082</v>
      </c>
    </row>
    <row r="506" ht="12.75" hidden="1">
      <c r="BK506" s="2">
        <v>40083</v>
      </c>
    </row>
    <row r="507" ht="12.75" hidden="1">
      <c r="BK507" s="2">
        <v>40084</v>
      </c>
    </row>
    <row r="508" ht="12.75" hidden="1">
      <c r="BK508" s="2">
        <v>40085</v>
      </c>
    </row>
    <row r="509" ht="12.75" hidden="1">
      <c r="BK509" s="2">
        <v>40086</v>
      </c>
    </row>
    <row r="510" ht="12.75" hidden="1">
      <c r="BK510" s="2">
        <v>40087</v>
      </c>
    </row>
    <row r="511" ht="12.75" hidden="1">
      <c r="BK511" s="2">
        <v>40088</v>
      </c>
    </row>
    <row r="512" ht="12.75" hidden="1">
      <c r="BK512" s="2">
        <v>40089</v>
      </c>
    </row>
    <row r="513" ht="12.75" hidden="1">
      <c r="BK513" s="2">
        <v>40090</v>
      </c>
    </row>
    <row r="514" ht="12.75" hidden="1">
      <c r="BK514" s="2">
        <v>40091</v>
      </c>
    </row>
    <row r="515" ht="12.75" hidden="1">
      <c r="BK515" s="2">
        <v>40092</v>
      </c>
    </row>
    <row r="516" ht="12.75" hidden="1">
      <c r="BK516" s="2">
        <v>40093</v>
      </c>
    </row>
    <row r="517" ht="12.75" hidden="1">
      <c r="BK517" s="2">
        <v>40094</v>
      </c>
    </row>
    <row r="518" ht="12.75" hidden="1">
      <c r="BK518" s="2">
        <v>40095</v>
      </c>
    </row>
    <row r="519" ht="12.75" hidden="1">
      <c r="BK519" s="2">
        <v>40096</v>
      </c>
    </row>
    <row r="520" ht="12.75" hidden="1">
      <c r="BK520" s="2">
        <v>40097</v>
      </c>
    </row>
    <row r="521" ht="12.75" hidden="1">
      <c r="BK521" s="2">
        <v>40098</v>
      </c>
    </row>
    <row r="522" ht="12.75" hidden="1">
      <c r="BK522" s="2">
        <v>40099</v>
      </c>
    </row>
    <row r="523" ht="12.75" hidden="1">
      <c r="BK523" s="2">
        <v>40100</v>
      </c>
    </row>
    <row r="524" ht="12.75" hidden="1">
      <c r="BK524" s="2">
        <v>40101</v>
      </c>
    </row>
    <row r="525" ht="12.75" hidden="1">
      <c r="BK525" s="2">
        <v>40102</v>
      </c>
    </row>
    <row r="526" ht="12.75" hidden="1">
      <c r="BK526" s="2">
        <v>40103</v>
      </c>
    </row>
    <row r="527" ht="12.75" hidden="1">
      <c r="BK527" s="2">
        <v>40104</v>
      </c>
    </row>
    <row r="528" ht="12.75" hidden="1">
      <c r="BK528" s="2">
        <v>40105</v>
      </c>
    </row>
    <row r="529" ht="12.75" hidden="1">
      <c r="BK529" s="2">
        <v>40106</v>
      </c>
    </row>
    <row r="530" ht="12.75" hidden="1">
      <c r="BK530" s="2">
        <v>40107</v>
      </c>
    </row>
    <row r="531" ht="12.75" hidden="1">
      <c r="BK531" s="2">
        <v>40108</v>
      </c>
    </row>
    <row r="532" ht="12.75" hidden="1">
      <c r="BK532" s="2">
        <v>40109</v>
      </c>
    </row>
    <row r="533" ht="12.75" hidden="1">
      <c r="BK533" s="2">
        <v>40110</v>
      </c>
    </row>
    <row r="534" ht="12.75" hidden="1">
      <c r="BK534" s="2">
        <v>40111</v>
      </c>
    </row>
    <row r="535" ht="12.75" hidden="1">
      <c r="BK535" s="2">
        <v>40112</v>
      </c>
    </row>
    <row r="536" ht="12.75" hidden="1">
      <c r="BK536" s="2">
        <v>40113</v>
      </c>
    </row>
    <row r="537" ht="12.75" hidden="1">
      <c r="BK537" s="2">
        <v>40114</v>
      </c>
    </row>
    <row r="538" ht="12.75" hidden="1">
      <c r="BK538" s="2">
        <v>40115</v>
      </c>
    </row>
    <row r="539" ht="12.75" hidden="1">
      <c r="BK539" s="2">
        <v>40116</v>
      </c>
    </row>
    <row r="540" ht="12.75" hidden="1">
      <c r="BK540" s="2">
        <v>40117</v>
      </c>
    </row>
    <row r="541" ht="12.75" hidden="1">
      <c r="BK541" s="2">
        <v>40118</v>
      </c>
    </row>
    <row r="542" ht="12.75" hidden="1">
      <c r="BK542" s="2">
        <v>40119</v>
      </c>
    </row>
    <row r="543" ht="12.75" hidden="1">
      <c r="BK543" s="2">
        <v>40120</v>
      </c>
    </row>
    <row r="544" ht="12.75" hidden="1">
      <c r="BK544" s="2">
        <v>40121</v>
      </c>
    </row>
    <row r="545" ht="12.75" hidden="1">
      <c r="BK545" s="2">
        <v>40122</v>
      </c>
    </row>
    <row r="546" ht="12.75" hidden="1">
      <c r="BK546" s="2">
        <v>40123</v>
      </c>
    </row>
    <row r="547" ht="12.75" hidden="1">
      <c r="BK547" s="2">
        <v>40124</v>
      </c>
    </row>
    <row r="548" ht="12.75" hidden="1">
      <c r="BK548" s="2">
        <v>40125</v>
      </c>
    </row>
    <row r="549" ht="12.75" hidden="1">
      <c r="BK549" s="2">
        <v>40126</v>
      </c>
    </row>
    <row r="550" ht="12.75" hidden="1">
      <c r="BK550" s="2">
        <v>40127</v>
      </c>
    </row>
    <row r="551" ht="12.75" hidden="1">
      <c r="BK551" s="2">
        <v>40128</v>
      </c>
    </row>
    <row r="552" ht="12.75" hidden="1">
      <c r="BK552" s="2">
        <v>40129</v>
      </c>
    </row>
    <row r="553" ht="12.75" hidden="1">
      <c r="BK553" s="2">
        <v>40130</v>
      </c>
    </row>
    <row r="554" ht="12.75" hidden="1">
      <c r="BK554" s="2">
        <v>40131</v>
      </c>
    </row>
    <row r="555" ht="12.75" hidden="1">
      <c r="BK555" s="2">
        <v>40132</v>
      </c>
    </row>
    <row r="556" ht="12.75" hidden="1">
      <c r="BK556" s="2">
        <v>40133</v>
      </c>
    </row>
    <row r="557" ht="12.75" hidden="1">
      <c r="BK557" s="2">
        <v>40134</v>
      </c>
    </row>
    <row r="558" ht="12.75" hidden="1">
      <c r="BK558" s="2">
        <v>40135</v>
      </c>
    </row>
    <row r="559" ht="12.75" hidden="1">
      <c r="BK559" s="2">
        <v>40136</v>
      </c>
    </row>
    <row r="560" ht="12.75" hidden="1">
      <c r="BK560" s="2">
        <v>40137</v>
      </c>
    </row>
    <row r="561" ht="12.75" hidden="1">
      <c r="BK561" s="2">
        <v>40138</v>
      </c>
    </row>
    <row r="562" ht="12.75" hidden="1">
      <c r="BK562" s="2">
        <v>40139</v>
      </c>
    </row>
    <row r="563" ht="12.75" hidden="1">
      <c r="BK563" s="2">
        <v>40140</v>
      </c>
    </row>
    <row r="564" ht="12.75" hidden="1">
      <c r="BK564" s="2">
        <v>40141</v>
      </c>
    </row>
    <row r="565" ht="12.75" hidden="1">
      <c r="BK565" s="2">
        <v>40142</v>
      </c>
    </row>
    <row r="566" ht="12.75">
      <c r="BK566" s="2">
        <v>40143</v>
      </c>
    </row>
    <row r="567" ht="12.75">
      <c r="BK567" s="2">
        <v>40144</v>
      </c>
    </row>
    <row r="568" ht="12.75">
      <c r="BK568" s="2">
        <v>40145</v>
      </c>
    </row>
    <row r="569" ht="12.75">
      <c r="BK569" s="2">
        <v>40146</v>
      </c>
    </row>
    <row r="570" ht="12.75">
      <c r="BK570" s="2">
        <v>40147</v>
      </c>
    </row>
    <row r="571" ht="12.75">
      <c r="BK571" s="2">
        <v>40148</v>
      </c>
    </row>
    <row r="572" ht="12.75">
      <c r="BK572" s="2">
        <v>40149</v>
      </c>
    </row>
    <row r="573" ht="12.75">
      <c r="BK573" s="2">
        <v>40150</v>
      </c>
    </row>
    <row r="574" ht="12.75">
      <c r="BK574" s="2">
        <v>40151</v>
      </c>
    </row>
    <row r="575" ht="12.75">
      <c r="BK575" s="2">
        <v>40152</v>
      </c>
    </row>
    <row r="576" ht="12.75">
      <c r="BK576" s="2">
        <v>40153</v>
      </c>
    </row>
    <row r="577" ht="12.75">
      <c r="BK577" s="2">
        <v>40154</v>
      </c>
    </row>
    <row r="578" ht="12.75">
      <c r="BK578" s="2">
        <v>40155</v>
      </c>
    </row>
    <row r="579" ht="12.75">
      <c r="BK579" s="2">
        <v>40156</v>
      </c>
    </row>
    <row r="580" ht="12.75">
      <c r="BK580" s="2">
        <v>40157</v>
      </c>
    </row>
    <row r="581" ht="12.75">
      <c r="BK581" s="2">
        <v>40158</v>
      </c>
    </row>
    <row r="582" ht="12.75">
      <c r="BK582" s="2">
        <v>40159</v>
      </c>
    </row>
    <row r="583" ht="12.75">
      <c r="BK583" s="2">
        <v>40160</v>
      </c>
    </row>
    <row r="584" ht="12.75">
      <c r="BK584" s="2">
        <v>40161</v>
      </c>
    </row>
    <row r="585" ht="12.75">
      <c r="BK585" s="2">
        <v>40162</v>
      </c>
    </row>
    <row r="586" ht="12.75">
      <c r="BK586" s="2">
        <v>40163</v>
      </c>
    </row>
    <row r="587" ht="12.75">
      <c r="BK587" s="2">
        <v>40164</v>
      </c>
    </row>
    <row r="588" ht="12.75">
      <c r="BK588" s="2">
        <v>40165</v>
      </c>
    </row>
    <row r="589" ht="12.75">
      <c r="BK589" s="2">
        <v>40166</v>
      </c>
    </row>
    <row r="590" ht="12.75">
      <c r="BK590" s="2">
        <v>40167</v>
      </c>
    </row>
    <row r="591" ht="12.75">
      <c r="BK591" s="2">
        <v>40168</v>
      </c>
    </row>
    <row r="592" ht="12.75">
      <c r="BK592" s="2">
        <v>40169</v>
      </c>
    </row>
    <row r="593" ht="12.75">
      <c r="BK593" s="2">
        <v>40170</v>
      </c>
    </row>
    <row r="594" ht="12.75">
      <c r="BK594" s="2">
        <v>40171</v>
      </c>
    </row>
    <row r="595" ht="12.75">
      <c r="BK595" s="2">
        <v>40172</v>
      </c>
    </row>
    <row r="596" ht="12.75">
      <c r="BK596" s="2">
        <v>40173</v>
      </c>
    </row>
    <row r="597" ht="12.75">
      <c r="BK597" s="2">
        <v>40174</v>
      </c>
    </row>
    <row r="598" ht="12.75">
      <c r="BK598" s="2">
        <v>40175</v>
      </c>
    </row>
    <row r="599" ht="12.75">
      <c r="BK599" s="2">
        <v>40176</v>
      </c>
    </row>
    <row r="600" ht="12.75">
      <c r="BK600" s="2">
        <v>40177</v>
      </c>
    </row>
    <row r="601" ht="12.75">
      <c r="BK601" s="2">
        <v>40178</v>
      </c>
    </row>
    <row r="602" ht="12.75">
      <c r="BK602" s="2">
        <v>40179</v>
      </c>
    </row>
    <row r="603" ht="12.75">
      <c r="BK603" s="2">
        <v>40180</v>
      </c>
    </row>
    <row r="604" ht="12.75">
      <c r="BK604" s="2">
        <v>40181</v>
      </c>
    </row>
    <row r="605" ht="12.75">
      <c r="BK605" s="2">
        <v>40182</v>
      </c>
    </row>
    <row r="606" ht="12.75">
      <c r="BK606" s="2">
        <v>40183</v>
      </c>
    </row>
    <row r="607" ht="12.75">
      <c r="BK607" s="2">
        <v>40184</v>
      </c>
    </row>
    <row r="608" ht="12.75">
      <c r="BK608" s="2">
        <v>40185</v>
      </c>
    </row>
    <row r="609" ht="12.75">
      <c r="BK609" s="2">
        <v>40186</v>
      </c>
    </row>
    <row r="610" ht="12.75">
      <c r="BK610" s="2">
        <v>40187</v>
      </c>
    </row>
    <row r="611" ht="12.75">
      <c r="BK611" s="2">
        <v>40188</v>
      </c>
    </row>
    <row r="612" ht="12.75">
      <c r="BK612" s="2">
        <v>40189</v>
      </c>
    </row>
    <row r="613" ht="12.75">
      <c r="BK613" s="2">
        <v>40190</v>
      </c>
    </row>
    <row r="614" ht="12.75">
      <c r="BK614" s="2">
        <v>40191</v>
      </c>
    </row>
    <row r="615" ht="12.75">
      <c r="BK615" s="2">
        <v>40192</v>
      </c>
    </row>
    <row r="616" ht="12.75">
      <c r="BK616" s="2">
        <v>40193</v>
      </c>
    </row>
    <row r="617" ht="12.75">
      <c r="BK617" s="2">
        <v>40194</v>
      </c>
    </row>
    <row r="618" ht="12.75">
      <c r="BK618" s="2">
        <v>40195</v>
      </c>
    </row>
    <row r="619" ht="12.75">
      <c r="BK619" s="2">
        <v>40196</v>
      </c>
    </row>
    <row r="620" ht="12.75">
      <c r="BK620" s="2">
        <v>40197</v>
      </c>
    </row>
    <row r="621" ht="12.75">
      <c r="BK621" s="2">
        <v>40198</v>
      </c>
    </row>
    <row r="622" ht="12.75">
      <c r="BK622" s="2">
        <v>40199</v>
      </c>
    </row>
    <row r="623" ht="12.75">
      <c r="BK623" s="2">
        <v>40200</v>
      </c>
    </row>
    <row r="624" ht="12.75">
      <c r="BK624" s="2">
        <v>40201</v>
      </c>
    </row>
    <row r="625" ht="12.75">
      <c r="BK625" s="2">
        <v>40202</v>
      </c>
    </row>
    <row r="626" ht="12.75">
      <c r="BK626" s="2">
        <v>40203</v>
      </c>
    </row>
    <row r="627" ht="12.75">
      <c r="BK627" s="2">
        <v>40204</v>
      </c>
    </row>
    <row r="628" ht="12.75">
      <c r="BK628" s="2">
        <v>40205</v>
      </c>
    </row>
    <row r="629" ht="12.75">
      <c r="BK629" s="2">
        <v>40206</v>
      </c>
    </row>
    <row r="630" ht="12.75">
      <c r="BK630" s="2">
        <v>40207</v>
      </c>
    </row>
    <row r="631" ht="12.75">
      <c r="BK631" s="2">
        <v>40208</v>
      </c>
    </row>
    <row r="632" ht="12.75">
      <c r="BK632" s="2">
        <v>40209</v>
      </c>
    </row>
    <row r="633" ht="12.75">
      <c r="BK633" s="2">
        <v>40210</v>
      </c>
    </row>
    <row r="634" ht="12.75">
      <c r="BK634" s="2">
        <v>40211</v>
      </c>
    </row>
    <row r="635" ht="12.75">
      <c r="BK635" s="2">
        <v>40212</v>
      </c>
    </row>
    <row r="636" ht="12.75">
      <c r="BK636" s="2">
        <v>40213</v>
      </c>
    </row>
    <row r="637" ht="12.75">
      <c r="BK637" s="2">
        <v>40214</v>
      </c>
    </row>
    <row r="638" ht="12.75">
      <c r="BK638" s="2">
        <v>40215</v>
      </c>
    </row>
    <row r="639" ht="12.75">
      <c r="BK639" s="2">
        <v>40216</v>
      </c>
    </row>
    <row r="640" ht="12.75">
      <c r="BK640" s="2">
        <v>40217</v>
      </c>
    </row>
    <row r="641" ht="12.75">
      <c r="BK641" s="2">
        <v>40218</v>
      </c>
    </row>
    <row r="642" ht="12.75">
      <c r="BK642" s="2">
        <v>40219</v>
      </c>
    </row>
    <row r="643" ht="12.75">
      <c r="BK643" s="2">
        <v>40220</v>
      </c>
    </row>
    <row r="644" ht="12.75">
      <c r="BK644" s="2">
        <v>40221</v>
      </c>
    </row>
    <row r="645" ht="12.75">
      <c r="BK645" s="2">
        <v>40222</v>
      </c>
    </row>
    <row r="646" ht="12.75">
      <c r="BK646" s="2">
        <v>40223</v>
      </c>
    </row>
    <row r="647" ht="12.75">
      <c r="BK647" s="2">
        <v>40224</v>
      </c>
    </row>
    <row r="648" ht="12.75">
      <c r="BK648" s="2">
        <v>40225</v>
      </c>
    </row>
    <row r="649" ht="12.75">
      <c r="BK649" s="2">
        <v>40226</v>
      </c>
    </row>
    <row r="650" ht="12.75">
      <c r="BK650" s="2">
        <v>40227</v>
      </c>
    </row>
    <row r="651" ht="12.75">
      <c r="BK651" s="2">
        <v>40228</v>
      </c>
    </row>
    <row r="652" ht="12.75">
      <c r="BK652" s="2">
        <v>40229</v>
      </c>
    </row>
    <row r="653" ht="12.75">
      <c r="BK653" s="2">
        <v>40230</v>
      </c>
    </row>
    <row r="654" ht="12.75">
      <c r="BK654" s="2">
        <v>40231</v>
      </c>
    </row>
    <row r="655" ht="12.75">
      <c r="BK655" s="2">
        <v>40232</v>
      </c>
    </row>
    <row r="656" ht="12.75">
      <c r="BK656" s="2">
        <v>40233</v>
      </c>
    </row>
    <row r="657" ht="12.75">
      <c r="BK657" s="2">
        <v>40234</v>
      </c>
    </row>
    <row r="658" ht="12.75">
      <c r="BK658" s="2">
        <v>40235</v>
      </c>
    </row>
    <row r="659" ht="12.75">
      <c r="BK659" s="2">
        <v>40236</v>
      </c>
    </row>
    <row r="660" ht="12.75">
      <c r="BK660" s="2">
        <v>40237</v>
      </c>
    </row>
    <row r="661" ht="12.75">
      <c r="BK661" s="2">
        <v>40238</v>
      </c>
    </row>
    <row r="662" ht="12.75">
      <c r="BK662" s="2">
        <v>40239</v>
      </c>
    </row>
    <row r="663" ht="12.75">
      <c r="BK663" s="2">
        <v>40240</v>
      </c>
    </row>
    <row r="664" ht="12.75">
      <c r="BK664" s="2">
        <v>40241</v>
      </c>
    </row>
    <row r="665" ht="12.75">
      <c r="BK665" s="2">
        <v>40242</v>
      </c>
    </row>
    <row r="666" ht="12.75">
      <c r="BK666" s="2">
        <v>40243</v>
      </c>
    </row>
    <row r="667" ht="12.75">
      <c r="BK667" s="2">
        <v>40244</v>
      </c>
    </row>
    <row r="668" ht="12.75">
      <c r="BK668" s="2">
        <v>40245</v>
      </c>
    </row>
    <row r="669" ht="12.75">
      <c r="BK669" s="2">
        <v>40246</v>
      </c>
    </row>
    <row r="670" ht="12.75">
      <c r="BK670" s="2">
        <v>40247</v>
      </c>
    </row>
    <row r="671" ht="12.75">
      <c r="BK671" s="2">
        <v>40248</v>
      </c>
    </row>
    <row r="672" ht="12.75">
      <c r="BK672" s="2">
        <v>40249</v>
      </c>
    </row>
    <row r="673" ht="12.75">
      <c r="BK673" s="2">
        <v>40250</v>
      </c>
    </row>
    <row r="674" ht="12.75">
      <c r="BK674" s="2">
        <v>40251</v>
      </c>
    </row>
    <row r="675" ht="12.75">
      <c r="BK675" s="2">
        <v>40252</v>
      </c>
    </row>
    <row r="676" ht="12.75">
      <c r="BK676" s="2">
        <v>40253</v>
      </c>
    </row>
    <row r="677" ht="12.75">
      <c r="BK677" s="2">
        <v>40254</v>
      </c>
    </row>
    <row r="678" ht="12.75">
      <c r="BK678" s="2">
        <v>40255</v>
      </c>
    </row>
    <row r="679" ht="12.75">
      <c r="BK679" s="2">
        <v>40256</v>
      </c>
    </row>
    <row r="680" ht="12.75">
      <c r="BK680" s="2">
        <v>40257</v>
      </c>
    </row>
    <row r="681" ht="12.75">
      <c r="BK681" s="2">
        <v>40258</v>
      </c>
    </row>
    <row r="682" ht="12.75">
      <c r="BK682" s="2">
        <v>40259</v>
      </c>
    </row>
    <row r="683" ht="12.75">
      <c r="BK683" s="2">
        <v>40260</v>
      </c>
    </row>
    <row r="684" ht="12.75">
      <c r="BK684" s="2">
        <v>40261</v>
      </c>
    </row>
    <row r="685" ht="12.75">
      <c r="BK685" s="2">
        <v>40262</v>
      </c>
    </row>
    <row r="686" ht="12.75">
      <c r="BK686" s="2">
        <v>40263</v>
      </c>
    </row>
    <row r="687" ht="12.75">
      <c r="BK687" s="2">
        <v>40264</v>
      </c>
    </row>
    <row r="688" ht="12.75">
      <c r="BK688" s="2">
        <v>40265</v>
      </c>
    </row>
    <row r="689" ht="12.75">
      <c r="BK689" s="2">
        <v>40266</v>
      </c>
    </row>
    <row r="690" ht="12.75">
      <c r="BK690" s="2">
        <v>40267</v>
      </c>
    </row>
    <row r="691" ht="12.75">
      <c r="BK691" s="2">
        <v>40268</v>
      </c>
    </row>
    <row r="692" ht="12.75">
      <c r="BK692" s="2">
        <v>40269</v>
      </c>
    </row>
    <row r="693" ht="12.75">
      <c r="BK693" s="2">
        <v>40270</v>
      </c>
    </row>
    <row r="694" ht="12.75">
      <c r="BK694" s="2">
        <v>40271</v>
      </c>
    </row>
    <row r="695" ht="12.75">
      <c r="BK695" s="2">
        <v>40272</v>
      </c>
    </row>
    <row r="696" ht="12.75">
      <c r="BK696" s="2">
        <v>40273</v>
      </c>
    </row>
    <row r="697" ht="12.75">
      <c r="BK697" s="2">
        <v>40274</v>
      </c>
    </row>
    <row r="698" ht="12.75">
      <c r="BK698" s="2">
        <v>40275</v>
      </c>
    </row>
    <row r="699" ht="12.75">
      <c r="BK699" s="2">
        <v>40276</v>
      </c>
    </row>
    <row r="700" ht="12.75">
      <c r="BK700" s="2">
        <v>40277</v>
      </c>
    </row>
    <row r="701" ht="12.75">
      <c r="BK701" s="2">
        <v>40278</v>
      </c>
    </row>
    <row r="702" ht="12.75">
      <c r="BK702" s="2">
        <v>40279</v>
      </c>
    </row>
    <row r="703" ht="12.75">
      <c r="BK703" s="2">
        <v>40280</v>
      </c>
    </row>
    <row r="704" ht="12.75">
      <c r="BK704" s="2">
        <v>40281</v>
      </c>
    </row>
    <row r="705" ht="12.75">
      <c r="BK705" s="2">
        <v>40282</v>
      </c>
    </row>
    <row r="706" ht="12.75">
      <c r="BK706" s="2">
        <v>40283</v>
      </c>
    </row>
    <row r="707" ht="12.75">
      <c r="BK707" s="2">
        <v>40284</v>
      </c>
    </row>
    <row r="708" ht="12.75">
      <c r="BK708" s="2">
        <v>40285</v>
      </c>
    </row>
    <row r="709" ht="12.75">
      <c r="BK709" s="2">
        <v>40286</v>
      </c>
    </row>
    <row r="710" ht="12.75">
      <c r="BK710" s="2">
        <v>40287</v>
      </c>
    </row>
    <row r="711" ht="12.75">
      <c r="BK711" s="2">
        <v>40288</v>
      </c>
    </row>
    <row r="712" ht="12.75">
      <c r="BK712" s="2">
        <v>40289</v>
      </c>
    </row>
    <row r="713" ht="12.75">
      <c r="BK713" s="2">
        <v>40290</v>
      </c>
    </row>
    <row r="714" ht="12.75">
      <c r="BK714" s="2">
        <v>40291</v>
      </c>
    </row>
    <row r="715" ht="12.75">
      <c r="BK715" s="2">
        <v>40292</v>
      </c>
    </row>
    <row r="716" ht="12.75">
      <c r="BK716" s="2">
        <v>40293</v>
      </c>
    </row>
    <row r="717" ht="12.75">
      <c r="BK717" s="2">
        <v>40294</v>
      </c>
    </row>
    <row r="718" ht="12.75">
      <c r="BK718" s="2">
        <v>40295</v>
      </c>
    </row>
    <row r="719" ht="12.75">
      <c r="BK719" s="2">
        <v>40296</v>
      </c>
    </row>
    <row r="720" ht="12.75">
      <c r="BK720" s="2">
        <v>40297</v>
      </c>
    </row>
    <row r="721" ht="12.75">
      <c r="BK721" s="2">
        <v>40298</v>
      </c>
    </row>
    <row r="722" ht="12.75">
      <c r="BK722" s="2">
        <v>40299</v>
      </c>
    </row>
    <row r="723" ht="12.75">
      <c r="BK723" s="2">
        <v>40300</v>
      </c>
    </row>
    <row r="724" ht="12.75">
      <c r="BK724" s="2">
        <v>40301</v>
      </c>
    </row>
    <row r="725" ht="12.75">
      <c r="BK725" s="2">
        <v>40302</v>
      </c>
    </row>
    <row r="726" ht="12.75">
      <c r="BK726" s="2">
        <v>40303</v>
      </c>
    </row>
    <row r="727" ht="12.75">
      <c r="BK727" s="2">
        <v>40304</v>
      </c>
    </row>
    <row r="728" ht="12.75">
      <c r="BK728" s="2">
        <v>40305</v>
      </c>
    </row>
    <row r="729" ht="12.75">
      <c r="BK729" s="2">
        <v>40306</v>
      </c>
    </row>
    <row r="730" ht="12.75">
      <c r="BK730" s="2">
        <v>40307</v>
      </c>
    </row>
    <row r="731" ht="12.75">
      <c r="BK731" s="2">
        <v>40308</v>
      </c>
    </row>
    <row r="732" ht="12.75">
      <c r="BK732" s="2">
        <v>40309</v>
      </c>
    </row>
    <row r="733" ht="12.75">
      <c r="BK733" s="2">
        <v>40310</v>
      </c>
    </row>
    <row r="734" ht="12.75">
      <c r="BK734" s="2">
        <v>40311</v>
      </c>
    </row>
    <row r="735" ht="12.75">
      <c r="BK735" s="2">
        <v>40312</v>
      </c>
    </row>
    <row r="736" ht="12.75">
      <c r="BK736" s="2">
        <v>40313</v>
      </c>
    </row>
    <row r="737" ht="12.75">
      <c r="BK737" s="2">
        <v>40314</v>
      </c>
    </row>
    <row r="738" ht="12.75">
      <c r="BK738" s="2">
        <v>40315</v>
      </c>
    </row>
    <row r="739" ht="12.75">
      <c r="BK739" s="2">
        <v>40316</v>
      </c>
    </row>
    <row r="740" ht="12.75">
      <c r="BK740" s="2">
        <v>40317</v>
      </c>
    </row>
    <row r="741" ht="12.75">
      <c r="BK741" s="2">
        <v>40318</v>
      </c>
    </row>
    <row r="742" ht="12.75">
      <c r="BK742" s="2">
        <v>40319</v>
      </c>
    </row>
    <row r="743" ht="12.75">
      <c r="BK743" s="2">
        <v>40320</v>
      </c>
    </row>
    <row r="744" ht="12.75">
      <c r="BK744" s="2">
        <v>40321</v>
      </c>
    </row>
    <row r="745" ht="12.75">
      <c r="BK745" s="2">
        <v>40322</v>
      </c>
    </row>
    <row r="746" ht="12.75">
      <c r="BK746" s="2">
        <v>40323</v>
      </c>
    </row>
    <row r="747" ht="12.75">
      <c r="BK747" s="2">
        <v>40324</v>
      </c>
    </row>
    <row r="748" ht="12.75">
      <c r="BK748" s="2">
        <v>40325</v>
      </c>
    </row>
    <row r="749" ht="12.75">
      <c r="BK749" s="2">
        <v>40326</v>
      </c>
    </row>
    <row r="750" ht="12.75">
      <c r="BK750" s="2">
        <v>40327</v>
      </c>
    </row>
    <row r="751" ht="12.75">
      <c r="BK751" s="2">
        <v>40328</v>
      </c>
    </row>
    <row r="752" ht="12.75">
      <c r="BK752" s="2">
        <v>40329</v>
      </c>
    </row>
    <row r="753" ht="12.75">
      <c r="BK753" s="2">
        <v>40330</v>
      </c>
    </row>
    <row r="754" ht="12.75">
      <c r="BK754" s="2">
        <v>40331</v>
      </c>
    </row>
    <row r="755" ht="12.75">
      <c r="BK755" s="2">
        <v>40332</v>
      </c>
    </row>
    <row r="756" ht="12.75">
      <c r="BK756" s="2">
        <v>40333</v>
      </c>
    </row>
    <row r="757" ht="12.75">
      <c r="BK757" s="2">
        <v>40334</v>
      </c>
    </row>
    <row r="758" ht="12.75">
      <c r="BK758" s="2">
        <v>40335</v>
      </c>
    </row>
    <row r="759" ht="12.75">
      <c r="BK759" s="2">
        <v>40336</v>
      </c>
    </row>
    <row r="760" ht="12.75">
      <c r="BK760" s="2">
        <v>40337</v>
      </c>
    </row>
    <row r="761" ht="12.75">
      <c r="BK761" s="2">
        <v>40338</v>
      </c>
    </row>
    <row r="762" ht="12.75">
      <c r="BK762" s="2">
        <v>40339</v>
      </c>
    </row>
    <row r="763" ht="12.75">
      <c r="BK763" s="2">
        <v>40340</v>
      </c>
    </row>
    <row r="764" ht="12.75">
      <c r="BK764" s="2">
        <v>40341</v>
      </c>
    </row>
    <row r="765" ht="12.75">
      <c r="BK765" s="2">
        <v>40342</v>
      </c>
    </row>
    <row r="766" ht="12.75">
      <c r="BK766" s="2">
        <v>40343</v>
      </c>
    </row>
    <row r="767" ht="12.75">
      <c r="BK767" s="2">
        <v>40344</v>
      </c>
    </row>
    <row r="768" ht="12.75">
      <c r="BK768" s="2">
        <v>40345</v>
      </c>
    </row>
    <row r="769" ht="12.75">
      <c r="BK769" s="2">
        <v>40346</v>
      </c>
    </row>
    <row r="770" ht="12.75">
      <c r="BK770" s="2">
        <v>40347</v>
      </c>
    </row>
    <row r="771" ht="12.75">
      <c r="BK771" s="2">
        <v>40348</v>
      </c>
    </row>
    <row r="772" ht="12.75">
      <c r="BK772" s="2">
        <v>40349</v>
      </c>
    </row>
    <row r="773" ht="12.75">
      <c r="BK773" s="2">
        <v>40350</v>
      </c>
    </row>
    <row r="774" ht="12.75">
      <c r="BK774" s="2">
        <v>40351</v>
      </c>
    </row>
    <row r="775" ht="12.75">
      <c r="BK775" s="2">
        <v>40352</v>
      </c>
    </row>
    <row r="776" ht="12.75">
      <c r="BK776" s="2">
        <v>40353</v>
      </c>
    </row>
    <row r="777" ht="12.75">
      <c r="BK777" s="2">
        <v>40354</v>
      </c>
    </row>
    <row r="778" ht="12.75">
      <c r="BK778" s="2">
        <v>40355</v>
      </c>
    </row>
    <row r="779" ht="12.75">
      <c r="BK779" s="2">
        <v>40356</v>
      </c>
    </row>
    <row r="780" ht="12.75">
      <c r="BK780" s="2">
        <v>40357</v>
      </c>
    </row>
    <row r="781" ht="12.75">
      <c r="BK781" s="2">
        <v>40358</v>
      </c>
    </row>
    <row r="782" ht="12.75">
      <c r="BK782" s="2">
        <v>40359</v>
      </c>
    </row>
    <row r="783" ht="12.75">
      <c r="BK783" s="2">
        <v>40360</v>
      </c>
    </row>
    <row r="784" ht="12.75">
      <c r="BK784" s="2">
        <v>40361</v>
      </c>
    </row>
    <row r="785" ht="12.75">
      <c r="BK785" s="2">
        <v>40362</v>
      </c>
    </row>
    <row r="786" ht="12.75">
      <c r="BK786" s="2">
        <v>40363</v>
      </c>
    </row>
    <row r="787" ht="12.75">
      <c r="BK787" s="2">
        <v>40364</v>
      </c>
    </row>
    <row r="788" ht="12.75">
      <c r="BK788" s="2">
        <v>40365</v>
      </c>
    </row>
    <row r="789" ht="12.75">
      <c r="BK789" s="2">
        <v>40366</v>
      </c>
    </row>
    <row r="790" ht="12.75">
      <c r="BK790" s="2">
        <v>40367</v>
      </c>
    </row>
    <row r="791" ht="12.75">
      <c r="BK791" s="2">
        <v>40368</v>
      </c>
    </row>
    <row r="792" ht="12.75">
      <c r="BK792" s="2">
        <v>40369</v>
      </c>
    </row>
    <row r="793" ht="12.75">
      <c r="BK793" s="2">
        <v>40370</v>
      </c>
    </row>
    <row r="794" ht="12.75">
      <c r="BK794" s="2">
        <v>40371</v>
      </c>
    </row>
    <row r="795" ht="12.75">
      <c r="BK795" s="2">
        <v>40372</v>
      </c>
    </row>
    <row r="796" ht="12.75">
      <c r="BK796" s="2">
        <v>40373</v>
      </c>
    </row>
    <row r="797" ht="12.75">
      <c r="BK797" s="2">
        <v>40374</v>
      </c>
    </row>
    <row r="798" ht="12.75">
      <c r="BK798" s="2">
        <v>40375</v>
      </c>
    </row>
    <row r="799" ht="12.75">
      <c r="BK799" s="2">
        <v>40376</v>
      </c>
    </row>
    <row r="800" ht="12.75">
      <c r="BK800" s="2">
        <v>40377</v>
      </c>
    </row>
    <row r="801" ht="12.75">
      <c r="BK801" s="2">
        <v>40378</v>
      </c>
    </row>
    <row r="802" ht="12.75">
      <c r="BK802" s="2">
        <v>40379</v>
      </c>
    </row>
    <row r="803" ht="12.75">
      <c r="BK803" s="2">
        <v>40380</v>
      </c>
    </row>
    <row r="804" ht="12.75">
      <c r="BK804" s="2">
        <v>40381</v>
      </c>
    </row>
    <row r="805" ht="12.75">
      <c r="BK805" s="2">
        <v>40382</v>
      </c>
    </row>
    <row r="806" ht="12.75">
      <c r="BK806" s="2">
        <v>40383</v>
      </c>
    </row>
    <row r="807" ht="12.75">
      <c r="BK807" s="2">
        <v>40384</v>
      </c>
    </row>
    <row r="808" ht="12.75">
      <c r="BK808" s="2">
        <v>40385</v>
      </c>
    </row>
    <row r="809" ht="12.75">
      <c r="BK809" s="2">
        <v>40386</v>
      </c>
    </row>
    <row r="810" ht="12.75">
      <c r="BK810" s="2">
        <v>40387</v>
      </c>
    </row>
    <row r="811" ht="12.75">
      <c r="BK811" s="2">
        <v>40388</v>
      </c>
    </row>
    <row r="812" ht="12.75">
      <c r="BK812" s="2">
        <v>40389</v>
      </c>
    </row>
    <row r="813" ht="12.75">
      <c r="BK813" s="2">
        <v>40390</v>
      </c>
    </row>
    <row r="814" ht="12.75">
      <c r="BK814" s="2">
        <v>40391</v>
      </c>
    </row>
    <row r="815" ht="12.75">
      <c r="BK815" s="2">
        <v>40392</v>
      </c>
    </row>
    <row r="816" ht="12.75">
      <c r="BK816" s="2">
        <v>40393</v>
      </c>
    </row>
    <row r="817" ht="12.75">
      <c r="BK817" s="2">
        <v>40394</v>
      </c>
    </row>
    <row r="818" ht="12.75">
      <c r="BK818" s="2">
        <v>40395</v>
      </c>
    </row>
    <row r="819" ht="12.75">
      <c r="BK819" s="2">
        <v>40396</v>
      </c>
    </row>
    <row r="820" ht="12.75">
      <c r="BK820" s="2">
        <v>40397</v>
      </c>
    </row>
    <row r="821" ht="12.75">
      <c r="BK821" s="2">
        <v>40398</v>
      </c>
    </row>
    <row r="822" ht="12.75">
      <c r="BK822" s="2">
        <v>40399</v>
      </c>
    </row>
    <row r="823" ht="12.75">
      <c r="BK823" s="2">
        <v>40400</v>
      </c>
    </row>
    <row r="824" ht="12.75">
      <c r="BK824" s="2">
        <v>40401</v>
      </c>
    </row>
    <row r="825" ht="12.75">
      <c r="BK825" s="2">
        <v>40402</v>
      </c>
    </row>
    <row r="826" ht="12.75">
      <c r="BK826" s="2">
        <v>40403</v>
      </c>
    </row>
    <row r="827" ht="12.75">
      <c r="BK827" s="2">
        <v>40404</v>
      </c>
    </row>
    <row r="828" ht="12.75">
      <c r="BK828" s="2">
        <v>40405</v>
      </c>
    </row>
    <row r="829" ht="12.75">
      <c r="BK829" s="2">
        <v>40406</v>
      </c>
    </row>
    <row r="830" ht="12.75">
      <c r="BK830" s="2">
        <v>40407</v>
      </c>
    </row>
    <row r="831" ht="12.75">
      <c r="BK831" s="2">
        <v>40408</v>
      </c>
    </row>
    <row r="832" ht="12.75">
      <c r="BK832" s="2">
        <v>40409</v>
      </c>
    </row>
    <row r="833" ht="12.75">
      <c r="BK833" s="2">
        <v>40410</v>
      </c>
    </row>
    <row r="834" ht="12.75">
      <c r="BK834" s="2">
        <v>40411</v>
      </c>
    </row>
    <row r="835" ht="12.75">
      <c r="BK835" s="2">
        <v>40412</v>
      </c>
    </row>
    <row r="836" ht="12.75">
      <c r="BK836" s="2">
        <v>40413</v>
      </c>
    </row>
    <row r="837" ht="12.75">
      <c r="BK837" s="2">
        <v>40414</v>
      </c>
    </row>
    <row r="838" ht="12.75">
      <c r="BK838" s="2">
        <v>40415</v>
      </c>
    </row>
    <row r="839" ht="12.75">
      <c r="BK839" s="2">
        <v>40416</v>
      </c>
    </row>
    <row r="840" ht="12.75">
      <c r="BK840" s="2">
        <v>40417</v>
      </c>
    </row>
    <row r="841" ht="12.75">
      <c r="BK841" s="2">
        <v>40418</v>
      </c>
    </row>
    <row r="842" ht="12.75">
      <c r="BK842" s="2">
        <v>40419</v>
      </c>
    </row>
    <row r="843" ht="12.75">
      <c r="BK843" s="2">
        <v>40420</v>
      </c>
    </row>
    <row r="844" ht="12.75">
      <c r="BK844" s="2">
        <v>40421</v>
      </c>
    </row>
    <row r="845" ht="12.75">
      <c r="BK845" s="2">
        <v>40422</v>
      </c>
    </row>
    <row r="846" ht="12.75">
      <c r="BK846" s="2">
        <v>40423</v>
      </c>
    </row>
    <row r="847" ht="12.75">
      <c r="BK847" s="2">
        <v>40424</v>
      </c>
    </row>
    <row r="848" ht="12.75">
      <c r="BK848" s="2">
        <v>40425</v>
      </c>
    </row>
    <row r="849" ht="12.75">
      <c r="BK849" s="2">
        <v>40426</v>
      </c>
    </row>
    <row r="850" ht="12.75">
      <c r="BK850" s="2">
        <v>40427</v>
      </c>
    </row>
    <row r="851" ht="12.75">
      <c r="BK851" s="2">
        <v>40428</v>
      </c>
    </row>
    <row r="852" ht="12.75">
      <c r="BK852" s="2">
        <v>40429</v>
      </c>
    </row>
    <row r="853" ht="12.75">
      <c r="BK853" s="2">
        <v>40430</v>
      </c>
    </row>
    <row r="854" ht="12.75">
      <c r="BK854" s="2">
        <v>40431</v>
      </c>
    </row>
    <row r="855" ht="12.75">
      <c r="BK855" s="2">
        <v>40432</v>
      </c>
    </row>
    <row r="856" ht="12.75">
      <c r="BK856" s="2">
        <v>40433</v>
      </c>
    </row>
    <row r="857" ht="12.75">
      <c r="BK857" s="2">
        <v>40434</v>
      </c>
    </row>
    <row r="858" ht="12.75">
      <c r="BK858" s="2">
        <v>40435</v>
      </c>
    </row>
    <row r="859" ht="12.75">
      <c r="BK859" s="2">
        <v>40436</v>
      </c>
    </row>
    <row r="860" ht="12.75">
      <c r="BK860" s="2">
        <v>40437</v>
      </c>
    </row>
    <row r="861" ht="12.75">
      <c r="BK861" s="2">
        <v>40438</v>
      </c>
    </row>
    <row r="862" ht="12.75">
      <c r="BK862" s="2">
        <v>40439</v>
      </c>
    </row>
    <row r="863" ht="12.75">
      <c r="BK863" s="2">
        <v>40440</v>
      </c>
    </row>
    <row r="864" ht="12.75">
      <c r="BK864" s="2">
        <v>40441</v>
      </c>
    </row>
    <row r="865" ht="12.75">
      <c r="BK865" s="2">
        <v>40442</v>
      </c>
    </row>
    <row r="866" ht="12.75">
      <c r="BK866" s="2">
        <v>40443</v>
      </c>
    </row>
    <row r="867" ht="12.75">
      <c r="BK867" s="2">
        <v>40444</v>
      </c>
    </row>
    <row r="868" ht="12.75">
      <c r="BK868" s="2">
        <v>40445</v>
      </c>
    </row>
    <row r="869" ht="12.75">
      <c r="BK869" s="2">
        <v>40446</v>
      </c>
    </row>
    <row r="870" ht="12.75">
      <c r="BK870" s="2">
        <v>40447</v>
      </c>
    </row>
    <row r="871" ht="12.75">
      <c r="BK871" s="2">
        <v>40448</v>
      </c>
    </row>
    <row r="872" ht="12.75">
      <c r="BK872" s="2">
        <v>40449</v>
      </c>
    </row>
    <row r="873" ht="12.75">
      <c r="BK873" s="2">
        <v>40450</v>
      </c>
    </row>
    <row r="874" ht="12.75">
      <c r="BK874" s="2">
        <v>40451</v>
      </c>
    </row>
    <row r="875" ht="12.75">
      <c r="BK875" s="2">
        <v>40452</v>
      </c>
    </row>
    <row r="876" ht="12.75">
      <c r="BK876" s="2">
        <v>40453</v>
      </c>
    </row>
    <row r="877" ht="12.75">
      <c r="BK877" s="2">
        <v>40454</v>
      </c>
    </row>
    <row r="878" ht="12.75">
      <c r="BK878" s="2">
        <v>40455</v>
      </c>
    </row>
    <row r="879" ht="12.75">
      <c r="BK879" s="2">
        <v>40456</v>
      </c>
    </row>
    <row r="880" ht="12.75">
      <c r="BK880" s="2">
        <v>40457</v>
      </c>
    </row>
    <row r="881" ht="12.75">
      <c r="BK881" s="2">
        <v>40458</v>
      </c>
    </row>
    <row r="882" ht="12.75">
      <c r="BK882" s="2">
        <v>40459</v>
      </c>
    </row>
    <row r="883" ht="12.75">
      <c r="BK883" s="2">
        <v>40460</v>
      </c>
    </row>
    <row r="884" ht="12.75">
      <c r="BK884" s="2">
        <v>40461</v>
      </c>
    </row>
    <row r="885" ht="12.75">
      <c r="BK885" s="2">
        <v>40462</v>
      </c>
    </row>
    <row r="886" ht="12.75">
      <c r="BK886" s="2">
        <v>40463</v>
      </c>
    </row>
    <row r="887" ht="12.75">
      <c r="BK887" s="2">
        <v>40464</v>
      </c>
    </row>
    <row r="888" ht="12.75">
      <c r="BK888" s="2">
        <v>40465</v>
      </c>
    </row>
    <row r="889" ht="12.75">
      <c r="BK889" s="2">
        <v>40466</v>
      </c>
    </row>
    <row r="890" ht="12.75">
      <c r="BK890" s="2">
        <v>40467</v>
      </c>
    </row>
    <row r="891" ht="12.75">
      <c r="BK891" s="2">
        <v>40468</v>
      </c>
    </row>
    <row r="892" ht="12.75">
      <c r="BK892" s="2">
        <v>40469</v>
      </c>
    </row>
    <row r="893" ht="12.75">
      <c r="BK893" s="2">
        <v>40470</v>
      </c>
    </row>
    <row r="894" ht="12.75">
      <c r="BK894" s="2">
        <v>40471</v>
      </c>
    </row>
    <row r="895" ht="12.75">
      <c r="BK895" s="2">
        <v>40472</v>
      </c>
    </row>
    <row r="896" ht="12.75">
      <c r="BK896" s="2">
        <v>40473</v>
      </c>
    </row>
    <row r="897" ht="12.75">
      <c r="BK897" s="2">
        <v>40474</v>
      </c>
    </row>
    <row r="898" ht="12.75">
      <c r="BK898" s="2">
        <v>40475</v>
      </c>
    </row>
    <row r="899" ht="12.75">
      <c r="BK899" s="2">
        <v>40476</v>
      </c>
    </row>
    <row r="900" ht="12.75">
      <c r="BK900" s="2">
        <v>40477</v>
      </c>
    </row>
    <row r="901" ht="12.75">
      <c r="BK901" s="2">
        <v>40478</v>
      </c>
    </row>
    <row r="902" ht="12.75">
      <c r="BK902" s="2">
        <v>40479</v>
      </c>
    </row>
    <row r="903" ht="12.75">
      <c r="BK903" s="2">
        <v>40480</v>
      </c>
    </row>
    <row r="904" ht="12.75">
      <c r="BK904" s="2">
        <v>40481</v>
      </c>
    </row>
    <row r="905" ht="12.75">
      <c r="BK905" s="2">
        <v>40482</v>
      </c>
    </row>
    <row r="906" ht="12.75">
      <c r="BK906" s="2">
        <v>40483</v>
      </c>
    </row>
    <row r="907" ht="12.75">
      <c r="BK907" s="2">
        <v>40484</v>
      </c>
    </row>
    <row r="908" ht="12.75">
      <c r="BK908" s="2">
        <v>40485</v>
      </c>
    </row>
    <row r="909" ht="12.75">
      <c r="BK909" s="2">
        <v>40486</v>
      </c>
    </row>
    <row r="910" ht="12.75">
      <c r="BK910" s="2">
        <v>40487</v>
      </c>
    </row>
    <row r="911" ht="12.75">
      <c r="BK911" s="2">
        <v>40488</v>
      </c>
    </row>
    <row r="912" ht="12.75">
      <c r="BK912" s="2">
        <v>40489</v>
      </c>
    </row>
    <row r="913" ht="12.75">
      <c r="BK913" s="2">
        <v>40490</v>
      </c>
    </row>
    <row r="914" ht="12.75">
      <c r="BK914" s="2">
        <v>40491</v>
      </c>
    </row>
    <row r="915" ht="12.75">
      <c r="BK915" s="2">
        <v>40492</v>
      </c>
    </row>
    <row r="916" ht="12.75">
      <c r="BK916" s="2">
        <v>40493</v>
      </c>
    </row>
    <row r="917" ht="12.75">
      <c r="BK917" s="2">
        <v>40494</v>
      </c>
    </row>
    <row r="918" ht="12.75">
      <c r="BK918" s="2">
        <v>40495</v>
      </c>
    </row>
    <row r="919" ht="12.75">
      <c r="BK919" s="2">
        <v>40496</v>
      </c>
    </row>
    <row r="920" ht="12.75">
      <c r="BK920" s="2">
        <v>40497</v>
      </c>
    </row>
    <row r="921" ht="12.75">
      <c r="BK921" s="2">
        <v>40498</v>
      </c>
    </row>
    <row r="922" ht="12.75">
      <c r="BK922" s="2">
        <v>40499</v>
      </c>
    </row>
    <row r="923" ht="12.75">
      <c r="BK923" s="2">
        <v>40500</v>
      </c>
    </row>
    <row r="924" ht="12.75">
      <c r="BK924" s="2">
        <v>40501</v>
      </c>
    </row>
    <row r="925" ht="12.75">
      <c r="BK925" s="2">
        <v>40502</v>
      </c>
    </row>
    <row r="926" ht="12.75">
      <c r="BK926" s="2">
        <v>40503</v>
      </c>
    </row>
    <row r="927" ht="12.75">
      <c r="BK927" s="2">
        <v>40504</v>
      </c>
    </row>
    <row r="928" ht="12.75">
      <c r="BK928" s="2">
        <v>40505</v>
      </c>
    </row>
    <row r="929" ht="12.75">
      <c r="BK929" s="2">
        <v>40506</v>
      </c>
    </row>
    <row r="930" ht="12.75">
      <c r="BK930" s="2">
        <v>40507</v>
      </c>
    </row>
    <row r="931" ht="12.75">
      <c r="BK931" s="2">
        <v>40508</v>
      </c>
    </row>
    <row r="932" ht="12.75">
      <c r="BK932" s="2">
        <v>40509</v>
      </c>
    </row>
    <row r="933" ht="12.75">
      <c r="BK933" s="2">
        <v>40510</v>
      </c>
    </row>
    <row r="934" ht="12.75">
      <c r="BK934" s="2">
        <v>40511</v>
      </c>
    </row>
    <row r="935" ht="12.75">
      <c r="BK935" s="2">
        <v>40512</v>
      </c>
    </row>
    <row r="936" ht="12.75">
      <c r="BK936" s="2">
        <v>40513</v>
      </c>
    </row>
    <row r="937" ht="12.75">
      <c r="BK937" s="2">
        <v>40514</v>
      </c>
    </row>
    <row r="938" ht="12.75">
      <c r="BK938" s="2">
        <v>40515</v>
      </c>
    </row>
    <row r="939" ht="12.75">
      <c r="BK939" s="2">
        <v>40516</v>
      </c>
    </row>
    <row r="940" ht="12.75">
      <c r="BK940" s="2">
        <v>40517</v>
      </c>
    </row>
    <row r="941" ht="12.75">
      <c r="BK941" s="2">
        <v>40518</v>
      </c>
    </row>
    <row r="942" ht="12.75">
      <c r="BK942" s="2">
        <v>40519</v>
      </c>
    </row>
    <row r="943" ht="12.75">
      <c r="BK943" s="2">
        <v>40520</v>
      </c>
    </row>
    <row r="944" ht="12.75">
      <c r="BK944" s="2">
        <v>40521</v>
      </c>
    </row>
    <row r="945" ht="12.75">
      <c r="BK945" s="2">
        <v>40522</v>
      </c>
    </row>
    <row r="946" ht="12.75">
      <c r="BK946" s="2">
        <v>40523</v>
      </c>
    </row>
    <row r="947" ht="12.75">
      <c r="BK947" s="2">
        <v>40524</v>
      </c>
    </row>
    <row r="948" ht="12.75">
      <c r="BK948" s="2">
        <v>40525</v>
      </c>
    </row>
    <row r="949" ht="12.75">
      <c r="BK949" s="2">
        <v>40526</v>
      </c>
    </row>
    <row r="950" ht="12.75">
      <c r="BK950" s="2">
        <v>40527</v>
      </c>
    </row>
    <row r="951" ht="12.75">
      <c r="BK951" s="2">
        <v>40528</v>
      </c>
    </row>
    <row r="952" ht="12.75">
      <c r="BK952" s="2">
        <v>40529</v>
      </c>
    </row>
    <row r="953" ht="12.75">
      <c r="BK953" s="2">
        <v>40530</v>
      </c>
    </row>
    <row r="954" ht="12.75">
      <c r="BK954" s="2">
        <v>40531</v>
      </c>
    </row>
    <row r="955" ht="12.75">
      <c r="BK955" s="2">
        <v>40532</v>
      </c>
    </row>
    <row r="956" ht="12.75">
      <c r="BK956" s="2">
        <v>40533</v>
      </c>
    </row>
    <row r="957" ht="12.75">
      <c r="BK957" s="2">
        <v>40534</v>
      </c>
    </row>
    <row r="958" ht="12.75">
      <c r="BK958" s="2">
        <v>40535</v>
      </c>
    </row>
    <row r="959" ht="12.75">
      <c r="BK959" s="2">
        <v>40536</v>
      </c>
    </row>
    <row r="960" ht="12.75">
      <c r="BK960" s="2">
        <v>40537</v>
      </c>
    </row>
    <row r="961" ht="12.75">
      <c r="BK961" s="2">
        <v>40538</v>
      </c>
    </row>
    <row r="962" ht="12.75">
      <c r="BK962" s="2">
        <v>40539</v>
      </c>
    </row>
    <row r="963" ht="12.75">
      <c r="BK963" s="2">
        <v>40540</v>
      </c>
    </row>
    <row r="964" ht="12.75">
      <c r="BK964" s="2">
        <v>40541</v>
      </c>
    </row>
    <row r="965" ht="12.75">
      <c r="BK965" s="2">
        <v>40542</v>
      </c>
    </row>
    <row r="966" ht="12.75">
      <c r="BK966" s="2">
        <v>40543</v>
      </c>
    </row>
  </sheetData>
  <sheetProtection sheet="1" objects="1" scenarios="1" formatCells="0" formatColumns="0" formatRows="0" insertColumns="0" insertRows="0" deleteColumns="0" deleteRows="0" selectLockedCells="1"/>
  <protectedRanges>
    <protectedRange password="CC42" sqref="F50:G51 E2:G49" name="Range1"/>
  </protectedRanges>
  <mergeCells count="85">
    <mergeCell ref="B19:C19"/>
    <mergeCell ref="B20:C20"/>
    <mergeCell ref="B14:C14"/>
    <mergeCell ref="B15:C15"/>
    <mergeCell ref="B16:C16"/>
    <mergeCell ref="B6:C6"/>
    <mergeCell ref="B7:C7"/>
    <mergeCell ref="B8:C8"/>
    <mergeCell ref="B18:C18"/>
    <mergeCell ref="B25:C25"/>
    <mergeCell ref="B23:C23"/>
    <mergeCell ref="B29:C29"/>
    <mergeCell ref="A1:G1"/>
    <mergeCell ref="A14:A24"/>
    <mergeCell ref="A2:A12"/>
    <mergeCell ref="B10:C10"/>
    <mergeCell ref="B11:C11"/>
    <mergeCell ref="B12:C12"/>
    <mergeCell ref="B13:C13"/>
    <mergeCell ref="B22:C22"/>
    <mergeCell ref="O103:P103"/>
    <mergeCell ref="B2:C2"/>
    <mergeCell ref="B3:C3"/>
    <mergeCell ref="B4:C4"/>
    <mergeCell ref="B5:C5"/>
    <mergeCell ref="B17:C17"/>
    <mergeCell ref="B9:C9"/>
    <mergeCell ref="B35:C35"/>
    <mergeCell ref="B30:C30"/>
    <mergeCell ref="O102:P102"/>
    <mergeCell ref="O100:P100"/>
    <mergeCell ref="B42:C42"/>
    <mergeCell ref="E17:G17"/>
    <mergeCell ref="B37:C37"/>
    <mergeCell ref="B38:C38"/>
    <mergeCell ref="B40:C40"/>
    <mergeCell ref="B33:C33"/>
    <mergeCell ref="B34:C34"/>
    <mergeCell ref="B36:C36"/>
    <mergeCell ref="E8:G8"/>
    <mergeCell ref="B43:B46"/>
    <mergeCell ref="H2:J7"/>
    <mergeCell ref="O101:P101"/>
    <mergeCell ref="H9:I12"/>
    <mergeCell ref="E2:G2"/>
    <mergeCell ref="E3:G3"/>
    <mergeCell ref="B26:C26"/>
    <mergeCell ref="B31:C31"/>
    <mergeCell ref="B21:C21"/>
    <mergeCell ref="E4:G4"/>
    <mergeCell ref="E5:G5"/>
    <mergeCell ref="E6:G6"/>
    <mergeCell ref="E7:G7"/>
    <mergeCell ref="E19:G19"/>
    <mergeCell ref="E9:G9"/>
    <mergeCell ref="E10:G10"/>
    <mergeCell ref="E11:G11"/>
    <mergeCell ref="E12:G12"/>
    <mergeCell ref="E13:G13"/>
    <mergeCell ref="E14:G14"/>
    <mergeCell ref="E15:G15"/>
    <mergeCell ref="E16:G16"/>
    <mergeCell ref="E18:G18"/>
    <mergeCell ref="E32:G32"/>
    <mergeCell ref="E20:G20"/>
    <mergeCell ref="E21:G21"/>
    <mergeCell ref="E22:G22"/>
    <mergeCell ref="E23:G23"/>
    <mergeCell ref="E24:G24"/>
    <mergeCell ref="E25:G25"/>
    <mergeCell ref="E26:G26"/>
    <mergeCell ref="E27:G27"/>
    <mergeCell ref="E31:G31"/>
    <mergeCell ref="E33:G33"/>
    <mergeCell ref="E34:G34"/>
    <mergeCell ref="E35:G35"/>
    <mergeCell ref="E42:G42"/>
    <mergeCell ref="E45:G45"/>
    <mergeCell ref="E46:G46"/>
    <mergeCell ref="E36:G36"/>
    <mergeCell ref="E37:G37"/>
    <mergeCell ref="E38:G38"/>
    <mergeCell ref="E40:G40"/>
    <mergeCell ref="E41:G41"/>
    <mergeCell ref="E43:G43"/>
  </mergeCells>
  <conditionalFormatting sqref="F48">
    <cfRule type="expression" priority="2" dxfId="0" stopIfTrue="1">
      <formula>0</formula>
    </cfRule>
  </conditionalFormatting>
  <dataValidations count="40">
    <dataValidation type="list" allowBlank="1" showInputMessage="1" showErrorMessage="1" promptTitle="BILL CLAIMING UPTO" prompt="ENTER THE LAST DATE YOU CLAIM FOR ARREAR BILL" error="Please select from the drop down list" sqref="E30">
      <formula1>AN184:AN187</formula1>
    </dataValidation>
    <dataValidation type="list" allowBlank="1" showInputMessage="1" showErrorMessage="1" error="Please, select from the drop down list" sqref="F30">
      <formula1>AO157:AO168</formula1>
    </dataValidation>
    <dataValidation type="list" allowBlank="1" showInputMessage="1" showErrorMessage="1" error="Please, select from the drop down list" sqref="G30">
      <formula1>AP193:AP196</formula1>
    </dataValidation>
    <dataValidation type="list" allowBlank="1" showInputMessage="1" showErrorMessage="1" error="Please,select from the drop down list." sqref="F39">
      <formula1>AO157:AO168</formula1>
    </dataValidation>
    <dataValidation type="list" allowBlank="1" showInputMessage="1" showErrorMessage="1" error="Please, select from the drop down list." sqref="G39">
      <formula1>AP193:AP196</formula1>
    </dataValidation>
    <dataValidation type="list" allowBlank="1" showInputMessage="1" showErrorMessage="1" error="Please, select from the drop down list." sqref="F44">
      <formula1>AO157:AO168</formula1>
    </dataValidation>
    <dataValidation type="list" allowBlank="1" showInputMessage="1" showErrorMessage="1" error="Please, select from the drop down list." sqref="G44">
      <formula1>AP193:AP196</formula1>
    </dataValidation>
    <dataValidation type="list" allowBlank="1" showInputMessage="1" showErrorMessage="1" prompt="There is no change in H.R.A. then there in no need to attempt this.&#10;DON'T CLEAR IT.&#10;" error="Please, select from the drop down list" sqref="E39">
      <formula1>AN157:AN187</formula1>
    </dataValidation>
    <dataValidation type="list" allowBlank="1" showInputMessage="1" showErrorMessage="1" prompt="IF E41 IS NO THEN DON'T ATTEMPT THIS THERE IS NO NEED TO CLEAR IT&#10;" error="Please, select from the drop down list." sqref="E44">
      <formula1>AN157:AN188</formula1>
    </dataValidation>
    <dataValidation type="list" allowBlank="1" showInputMessage="1" showErrorMessage="1" prompt="If there is no required data in the drop down list then select empty and later fill it manually" error="Please, select from the drop down list" sqref="E45:G45">
      <formula1>$Q$122:$Q$138</formula1>
    </dataValidation>
    <dataValidation type="list" allowBlank="1" showInputMessage="1" showErrorMessage="1" prompt="SELECT FROM THE DROP DOWN LIST" error="Please, select from the drop down list" sqref="E46:G46">
      <formula1>$AI$53:$AI$59</formula1>
    </dataValidation>
    <dataValidation type="list" allowBlank="1" showInputMessage="1" showErrorMessage="1" prompt=" IF E41 IS NO. THEN DON'T ATTEMPT THIS CELL. THERE IS NO NEED TO CLEAR IT&#10;" error="Please, select from the drop down list" sqref="E43:G43">
      <formula1>$O$113:$O$114</formula1>
    </dataValidation>
    <dataValidation type="list" allowBlank="1" showInputMessage="1" showErrorMessage="1" prompt="SELECT FROM THE DROP DOWN LIST" error="Please, select from the drop down list" sqref="E47">
      <formula1>$O$107:$O$108</formula1>
    </dataValidation>
    <dataValidation type="list" allowBlank="1" showInputMessage="1" showErrorMessage="1" prompt="ENTER FROM THE DROP DOWN LIST" error="Please, select from the drop down list." sqref="E42:G42">
      <formula1>$O$107:$O$108</formula1>
    </dataValidation>
    <dataValidation type="list" allowBlank="1" showInputMessage="1" showErrorMessage="1" prompt="ENTER FROM THE DROP DOWN LIST" error="Please, select from the drop down list." sqref="E37:G37">
      <formula1>$N$114:$N$117</formula1>
    </dataValidation>
    <dataValidation type="list" allowBlank="1" showInputMessage="1" showErrorMessage="1" prompt="ENTER FROM THE DROP DOWN LIST" error="Please select from the drop down list." sqref="F40:G41 E40">
      <formula1>$Q$109:$Q$120</formula1>
    </dataValidation>
    <dataValidation type="list" allowBlank="1" showInputMessage="1" showErrorMessage="1" prompt="There is no change in H.R.A. then enter same H.R.A.&#10;DON'T CLEAR IT." error="Please, select from the drop down list." sqref="E38:G38">
      <formula1>$N$114:$N$117</formula1>
    </dataValidation>
    <dataValidation type="list" allowBlank="1" showInputMessage="1" showErrorMessage="1" prompt="ENTER FROM THE DROP DOWN LIST" error="Please, select from the drop down list" sqref="E31:G31">
      <formula1>$N$109:$N$113</formula1>
    </dataValidation>
    <dataValidation type="list" allowBlank="1" showInputMessage="1" showErrorMessage="1" prompt="ENTER FROM THE DROP DOWN LIST" error="Please, select from the drop down list.&#10;" sqref="E33:G33">
      <formula1>$P$107:$P$108</formula1>
    </dataValidation>
    <dataValidation type="list" allowBlank="1" showInputMessage="1" showErrorMessage="1" prompt="ENTER FROM THE DROP DOWN LIST" error="Please, select from the drop down list." sqref="F34:G34">
      <formula1>$S$53:$S$136</formula1>
    </dataValidation>
    <dataValidation allowBlank="1" showInputMessage="1" showErrorMessage="1" prompt="Don't use symbols like '+,;,'" sqref="E36:G36"/>
    <dataValidation type="list" allowBlank="1" showInputMessage="1" showErrorMessage="1" prompt="ENTER FROM THE DROP DOWN LIST" error="Please select from the drop down list" sqref="F26:G28">
      <formula1>$N$88:$N$91</formula1>
    </dataValidation>
    <dataValidation type="list" allowBlank="1" showInputMessage="1" showErrorMessage="1" promptTitle="ENTERING DATA" prompt="ENTER FROM THE DROP DOWN LIST. IF YOUR POST IS NOT THERE THEN SELECT EMPTY PALECE IN THE DROP DOWN LIST. LATER FILL MANUALLY IN NECESSARY PLACE.&#10;" error="Please select from the drop down list. If there is no required data then select empty later write it mannually" sqref="E25:G25">
      <formula1>$Q$122:$Q$138</formula1>
    </dataValidation>
    <dataValidation type="list" allowBlank="1" showInputMessage="1" showErrorMessage="1" error="Please select from the drop down list" sqref="F29">
      <formula1>$AO$157:$AO$168</formula1>
    </dataValidation>
    <dataValidation type="whole" allowBlank="1" showInputMessage="1" showErrorMessage="1" prompt="First zero does not appear in this cell but it will be counted" sqref="E19:G19">
      <formula1>0</formula1>
      <formula2>100000000000</formula2>
    </dataValidation>
    <dataValidation type="list" allowBlank="1" showInputMessage="1" showErrorMessage="1" prompt="select from the drop down list" error="Please select from the drop down list" sqref="E23:G23">
      <formula1>$O$107:$O$108</formula1>
    </dataValidation>
    <dataValidation allowBlank="1" showInputMessage="1" showErrorMessage="1" prompt="If the above cell is &quot;NO&quot; then there is no need to attempt this" sqref="E24:G24"/>
    <dataValidation type="list" allowBlank="1" showInputMessage="1" showErrorMessage="1" promptTitle="ENTERING CONDITION" prompt="1/7/2008 IS HERE EXPECT FOR JOINING AFTER 1/7/2006" error="Please, select from the drop down list" sqref="E29">
      <formula1>$AN$157:$AN$187</formula1>
    </dataValidation>
    <dataValidation type="list" allowBlank="1" showInputMessage="1" showErrorMessage="1" error="Please,select from the drop down list" sqref="G29">
      <formula1>$AP$157:$AP$196</formula1>
    </dataValidation>
    <dataValidation allowBlank="1" showInputMessage="1" showErrorMessage="1" promptTitle="NUMBER" prompt="This is a number. Don't use symbols." sqref="E17"/>
    <dataValidation type="list" allowBlank="1" showInputMessage="1" showErrorMessage="1" sqref="E9">
      <formula1>$N$107:$N$108</formula1>
    </dataValidation>
    <dataValidation type="list" allowBlank="1" showInputMessage="1" showErrorMessage="1" prompt="select from the drop down list" error="Please, select from the drop down list" sqref="E13:G13">
      <formula1>$O$107:$O$108</formula1>
    </dataValidation>
    <dataValidation type="list" allowBlank="1" showInputMessage="1" showErrorMessage="1" prompt="ENTER DATA FROM THE DROP DOWN LIST" error="please, select from the drop down list" sqref="E15:G15">
      <formula1>$BJ$53:$BJ$334</formula1>
    </dataValidation>
    <dataValidation allowBlank="1" showInputMessage="1" showErrorMessage="1" promptTitle="NUMBER" prompt="This is number, no sybols" errorTitle="NUMBER" sqref="E7:G7 E8"/>
    <dataValidation allowBlank="1" showInputMessage="1" showErrorMessage="1" promptTitle="NUMBER" prompt="This is number. No Symbols" sqref="F8:G8"/>
    <dataValidation type="list" allowBlank="1" showInputMessage="1" showErrorMessage="1" prompt="ENTER FROM THE DROP DOWN LIST" error="Please, select from the drop down list." sqref="E34">
      <formula1>$Z$53:$Z$136</formula1>
    </dataValidation>
    <dataValidation type="list" allowBlank="1" showInputMessage="1" showErrorMessage="1" prompt="ENTER FROM THE DROP DOWN LIST" error="Please select from the drop down list" sqref="E27">
      <formula1>$N$96:$N$98</formula1>
    </dataValidation>
    <dataValidation type="list" allowBlank="1" showInputMessage="1" showErrorMessage="1" prompt="ENTER FROM THE DROP DOWN LIST" error="Please select from the drop down list" sqref="E26">
      <formula1>$N$88:$N$93</formula1>
    </dataValidation>
    <dataValidation type="list" allowBlank="1" showInputMessage="1" showErrorMessage="1" prompt="ENTER FROM THE DROP DOWN LIST" error="Please select from the drop down list." sqref="E41">
      <formula1>$O$107:$O$108</formula1>
    </dataValidation>
    <dataValidation type="list" allowBlank="1" showInputMessage="1" showErrorMessage="1" sqref="E32:G32">
      <formula1>$R$88:$R$94</formula1>
    </dataValidation>
  </dataValidations>
  <printOptions/>
  <pageMargins left="0.41" right="0.42" top="0.59" bottom="0.57" header="0.17" footer="0.63"/>
  <pageSetup horizontalDpi="300" verticalDpi="300" orientation="portrait" paperSize="5" r:id="rId1"/>
  <ignoredErrors>
    <ignoredError sqref="E7" numberStoredAsText="1"/>
  </ignoredErrors>
</worksheet>
</file>

<file path=xl/worksheets/sheet3.xml><?xml version="1.0" encoding="utf-8"?>
<worksheet xmlns="http://schemas.openxmlformats.org/spreadsheetml/2006/main" xmlns:r="http://schemas.openxmlformats.org/officeDocument/2006/relationships">
  <sheetPr codeName="Sheet3"/>
  <dimension ref="A1:Q39"/>
  <sheetViews>
    <sheetView showGridLines="0" zoomScalePageLayoutView="0" workbookViewId="0" topLeftCell="A4">
      <selection activeCell="J5" sqref="J5:O5"/>
    </sheetView>
  </sheetViews>
  <sheetFormatPr defaultColWidth="9.140625" defaultRowHeight="12.75"/>
  <cols>
    <col min="1" max="1" width="16.7109375" style="9" customWidth="1"/>
    <col min="2" max="2" width="6.421875" style="9" customWidth="1"/>
    <col min="3" max="3" width="5.7109375" style="9" customWidth="1"/>
    <col min="4" max="4" width="6.28125" style="9" customWidth="1"/>
    <col min="5" max="5" width="5.28125" style="9" customWidth="1"/>
    <col min="6" max="6" width="3.421875" style="9" customWidth="1"/>
    <col min="7" max="7" width="3.57421875" style="9" customWidth="1"/>
    <col min="8" max="9" width="4.7109375" style="9" customWidth="1"/>
    <col min="10" max="10" width="4.8515625" style="9" customWidth="1"/>
    <col min="11" max="15" width="5.140625" style="9" customWidth="1"/>
    <col min="16" max="16384" width="9.140625" style="9" customWidth="1"/>
  </cols>
  <sheetData>
    <row r="1" spans="1:17" ht="39" customHeight="1" thickTop="1">
      <c r="A1" s="576" t="s">
        <v>427</v>
      </c>
      <c r="B1" s="566"/>
      <c r="C1" s="566"/>
      <c r="D1" s="566"/>
      <c r="E1" s="566"/>
      <c r="F1" s="566"/>
      <c r="G1" s="566"/>
      <c r="H1" s="566"/>
      <c r="I1" s="566"/>
      <c r="J1" s="566"/>
      <c r="K1" s="566"/>
      <c r="L1" s="566"/>
      <c r="M1" s="566"/>
      <c r="N1" s="566"/>
      <c r="O1" s="567"/>
      <c r="P1" s="33"/>
      <c r="Q1" s="33"/>
    </row>
    <row r="2" spans="1:17" ht="24" customHeight="1">
      <c r="A2" s="568" t="s">
        <v>323</v>
      </c>
      <c r="B2" s="569"/>
      <c r="C2" s="569"/>
      <c r="D2" s="569"/>
      <c r="E2" s="569"/>
      <c r="F2" s="569"/>
      <c r="G2" s="569"/>
      <c r="H2" s="569"/>
      <c r="I2" s="569"/>
      <c r="J2" s="569"/>
      <c r="K2" s="569"/>
      <c r="L2" s="569"/>
      <c r="M2" s="569"/>
      <c r="N2" s="569"/>
      <c r="O2" s="570"/>
      <c r="Q2" s="33"/>
    </row>
    <row r="3" spans="1:17" ht="21" customHeight="1">
      <c r="A3" s="186"/>
      <c r="B3" s="184"/>
      <c r="C3" s="184"/>
      <c r="D3" s="184"/>
      <c r="E3" s="184"/>
      <c r="F3" s="184"/>
      <c r="G3" s="184"/>
      <c r="H3" s="184"/>
      <c r="I3" s="184"/>
      <c r="J3" s="184"/>
      <c r="K3" s="184"/>
      <c r="L3" s="184"/>
      <c r="M3" s="184"/>
      <c r="N3" s="184"/>
      <c r="O3" s="185"/>
      <c r="Q3" s="33"/>
    </row>
    <row r="4" spans="1:17" ht="8.25" customHeight="1">
      <c r="A4" s="186"/>
      <c r="B4" s="184"/>
      <c r="C4" s="184"/>
      <c r="D4" s="184"/>
      <c r="E4" s="184"/>
      <c r="F4" s="184"/>
      <c r="G4" s="184"/>
      <c r="H4" s="184"/>
      <c r="I4" s="184"/>
      <c r="J4" s="184"/>
      <c r="K4" s="184"/>
      <c r="L4" s="184"/>
      <c r="M4" s="184"/>
      <c r="N4" s="184"/>
      <c r="O4" s="185"/>
      <c r="Q4" s="33"/>
    </row>
    <row r="5" spans="1:15" ht="23.25" customHeight="1">
      <c r="A5" s="187" t="s">
        <v>324</v>
      </c>
      <c r="B5" s="166">
        <f>'47-FRONT'!F7</f>
        <v>0</v>
      </c>
      <c r="C5" s="166">
        <f>'47-FRONT'!G7</f>
        <v>7</v>
      </c>
      <c r="D5" s="166">
        <f>'47-FRONT'!H7</f>
        <v>0</v>
      </c>
      <c r="E5" s="166">
        <f>'47-FRONT'!I7</f>
        <v>2</v>
      </c>
      <c r="F5" s="33"/>
      <c r="G5" s="33"/>
      <c r="H5" s="33"/>
      <c r="I5" s="33"/>
      <c r="J5" s="571" t="s">
        <v>53</v>
      </c>
      <c r="K5" s="572"/>
      <c r="L5" s="572"/>
      <c r="M5" s="572"/>
      <c r="N5" s="572"/>
      <c r="O5" s="573"/>
    </row>
    <row r="6" spans="1:15" ht="23.25" customHeight="1">
      <c r="A6" s="187" t="s">
        <v>325</v>
      </c>
      <c r="B6" s="559" t="str">
        <f>'WORK SHEET'!E18</f>
        <v>STO, ADDANKI</v>
      </c>
      <c r="C6" s="559"/>
      <c r="D6" s="559"/>
      <c r="E6" s="559"/>
      <c r="F6" s="33"/>
      <c r="G6" s="33"/>
      <c r="H6" s="33"/>
      <c r="I6" s="33"/>
      <c r="J6" s="34" t="s">
        <v>326</v>
      </c>
      <c r="K6" s="33"/>
      <c r="L6" s="33"/>
      <c r="M6" s="33"/>
      <c r="N6" s="33"/>
      <c r="O6" s="188"/>
    </row>
    <row r="7" spans="1:15" ht="25.5" customHeight="1">
      <c r="A7" s="187" t="s">
        <v>327</v>
      </c>
      <c r="B7" s="574" t="str">
        <f>CONCATENATE('47-FRONT'!F10,'47-FRONT'!G10,'47-FRONT'!H10,'47-FRONT'!I10,'47-FRONT'!J10,'47-FRONT'!K10,'47-FRONT'!L10,'47-FRONT'!M10,'47-FRONT'!N10,'47-FRONT'!O10,'47-FRONT'!P10)</f>
        <v>07020308008</v>
      </c>
      <c r="C7" s="574"/>
      <c r="D7" s="574"/>
      <c r="E7" s="574"/>
      <c r="F7" s="33"/>
      <c r="G7" s="33"/>
      <c r="H7" s="33"/>
      <c r="I7" s="33"/>
      <c r="J7" s="42" t="s">
        <v>328</v>
      </c>
      <c r="K7" s="42"/>
      <c r="L7" s="562"/>
      <c r="M7" s="563"/>
      <c r="N7" s="563"/>
      <c r="O7" s="564"/>
    </row>
    <row r="8" spans="1:15" ht="15.75" customHeight="1">
      <c r="A8" s="187"/>
      <c r="B8" s="33"/>
      <c r="C8" s="33"/>
      <c r="D8" s="33"/>
      <c r="E8" s="33"/>
      <c r="F8" s="33"/>
      <c r="G8" s="33"/>
      <c r="H8" s="33"/>
      <c r="I8" s="33"/>
      <c r="J8" s="33"/>
      <c r="K8" s="33"/>
      <c r="L8" s="33"/>
      <c r="M8" s="33"/>
      <c r="N8" s="33"/>
      <c r="O8" s="188"/>
    </row>
    <row r="9" spans="1:15" ht="15.75" customHeight="1">
      <c r="A9" s="187" t="s">
        <v>329</v>
      </c>
      <c r="B9" s="561" t="str">
        <f>IF('47-FRONT'!F12="MANDAL EDUCATIONAL OFFICER","M.E.O.",'47-FRONT'!F12)</f>
        <v>M.E.O.</v>
      </c>
      <c r="C9" s="561"/>
      <c r="D9" s="561"/>
      <c r="E9" s="561"/>
      <c r="F9" s="33"/>
      <c r="G9" s="189" t="s">
        <v>330</v>
      </c>
      <c r="H9" s="72"/>
      <c r="I9" s="72"/>
      <c r="J9" s="72"/>
      <c r="K9" s="580" t="str">
        <f>'47-FRONT'!R12</f>
        <v>MRC, ADDANKI</v>
      </c>
      <c r="L9" s="580"/>
      <c r="M9" s="580"/>
      <c r="N9" s="580"/>
      <c r="O9" s="581"/>
    </row>
    <row r="10" spans="1:15" ht="15.75" customHeight="1">
      <c r="A10" s="187"/>
      <c r="B10" s="41"/>
      <c r="C10" s="41"/>
      <c r="D10" s="41"/>
      <c r="E10" s="41"/>
      <c r="F10" s="33"/>
      <c r="G10" s="33"/>
      <c r="H10" s="33"/>
      <c r="I10" s="33"/>
      <c r="J10" s="33"/>
      <c r="K10" s="33"/>
      <c r="L10" s="33"/>
      <c r="M10" s="33"/>
      <c r="N10" s="33"/>
      <c r="O10" s="188"/>
    </row>
    <row r="11" spans="1:15" ht="15.75" customHeight="1">
      <c r="A11" s="187" t="s">
        <v>331</v>
      </c>
      <c r="B11" s="167">
        <f>'47-FRONT'!F15</f>
        <v>0</v>
      </c>
      <c r="C11" s="168">
        <f>'47-FRONT'!G15</f>
        <v>7</v>
      </c>
      <c r="D11" s="168">
        <f>'47-FRONT'!H15</f>
        <v>5</v>
      </c>
      <c r="E11" s="169">
        <f>'47-FRONT'!I15</f>
        <v>1</v>
      </c>
      <c r="F11" s="33"/>
      <c r="G11" s="33" t="s">
        <v>332</v>
      </c>
      <c r="H11" s="33"/>
      <c r="I11" s="637" t="str">
        <f>'47-FRONT'!R15</f>
        <v>SBI,ADDANKI</v>
      </c>
      <c r="J11" s="637"/>
      <c r="K11" s="637"/>
      <c r="L11" s="637"/>
      <c r="M11" s="637"/>
      <c r="N11" s="637"/>
      <c r="O11" s="638"/>
    </row>
    <row r="12" spans="1:15" ht="15.75" customHeight="1">
      <c r="A12" s="187"/>
      <c r="B12" s="41"/>
      <c r="C12" s="41"/>
      <c r="D12" s="41"/>
      <c r="E12" s="41"/>
      <c r="F12" s="41"/>
      <c r="G12" s="41"/>
      <c r="H12" s="41"/>
      <c r="I12" s="41"/>
      <c r="J12" s="41"/>
      <c r="K12" s="41"/>
      <c r="L12" s="41"/>
      <c r="M12" s="33"/>
      <c r="N12" s="33"/>
      <c r="O12" s="188"/>
    </row>
    <row r="13" spans="1:15" ht="22.5" customHeight="1">
      <c r="A13" s="187" t="s">
        <v>333</v>
      </c>
      <c r="B13" s="177">
        <f>'47-FRONT'!E24</f>
        <v>2</v>
      </c>
      <c r="C13" s="177">
        <f>'47-FRONT'!F24</f>
        <v>2</v>
      </c>
      <c r="D13" s="177">
        <f>'47-FRONT'!G24</f>
        <v>0</v>
      </c>
      <c r="E13" s="177">
        <f>'47-FRONT'!H24</f>
        <v>2</v>
      </c>
      <c r="F13" s="41"/>
      <c r="G13" s="177">
        <f>'47-FRONT'!E26</f>
        <v>0</v>
      </c>
      <c r="H13" s="177">
        <f>'47-FRONT'!F26</f>
        <v>1</v>
      </c>
      <c r="I13" s="178"/>
      <c r="J13" s="177">
        <f>'47-FRONT'!E28</f>
        <v>1</v>
      </c>
      <c r="K13" s="177">
        <f>'47-FRONT'!F28</f>
        <v>0</v>
      </c>
      <c r="L13" s="177">
        <f>'47-FRONT'!G28</f>
        <v>3</v>
      </c>
      <c r="M13" s="179"/>
      <c r="N13" s="180"/>
      <c r="O13" s="191"/>
    </row>
    <row r="14" spans="1:15" ht="15.75" customHeight="1">
      <c r="A14" s="187"/>
      <c r="B14" s="578" t="s">
        <v>334</v>
      </c>
      <c r="C14" s="578"/>
      <c r="D14" s="578"/>
      <c r="E14" s="578"/>
      <c r="F14" s="33"/>
      <c r="G14" s="578" t="s">
        <v>335</v>
      </c>
      <c r="H14" s="578"/>
      <c r="I14" s="33"/>
      <c r="J14" s="578" t="s">
        <v>336</v>
      </c>
      <c r="K14" s="578"/>
      <c r="L14" s="578"/>
      <c r="M14" s="33"/>
      <c r="N14" s="575" t="s">
        <v>337</v>
      </c>
      <c r="O14" s="635"/>
    </row>
    <row r="15" spans="1:15" s="25" customFormat="1" ht="22.5" customHeight="1">
      <c r="A15" s="193"/>
      <c r="B15" s="177">
        <f>'47-FRONT'!E32</f>
        <v>0</v>
      </c>
      <c r="C15" s="177">
        <f>'47-FRONT'!F32</f>
        <v>5</v>
      </c>
      <c r="D15" s="178"/>
      <c r="E15" s="178"/>
      <c r="F15" s="179"/>
      <c r="G15" s="177">
        <f>'47-FRONT'!E34</f>
        <v>0</v>
      </c>
      <c r="H15" s="177">
        <f>'47-FRONT'!F34</f>
        <v>1</v>
      </c>
      <c r="I15" s="161">
        <f>'47-FRONT'!G34</f>
        <v>0</v>
      </c>
      <c r="J15" s="178"/>
      <c r="K15" s="178"/>
      <c r="L15" s="162"/>
      <c r="M15" s="180"/>
      <c r="N15" s="162"/>
      <c r="O15" s="194"/>
    </row>
    <row r="16" spans="1:15" ht="15.75" customHeight="1">
      <c r="A16" s="187"/>
      <c r="B16" s="579" t="s">
        <v>338</v>
      </c>
      <c r="C16" s="579"/>
      <c r="D16" s="165"/>
      <c r="E16" s="165"/>
      <c r="F16" s="33"/>
      <c r="G16" s="643" t="s">
        <v>339</v>
      </c>
      <c r="H16" s="643"/>
      <c r="I16" s="643"/>
      <c r="J16" s="165"/>
      <c r="K16" s="165"/>
      <c r="L16" s="579" t="s">
        <v>340</v>
      </c>
      <c r="M16" s="579"/>
      <c r="N16" s="579"/>
      <c r="O16" s="195"/>
    </row>
    <row r="17" spans="1:15" ht="15.75" customHeight="1">
      <c r="A17" s="187" t="s">
        <v>341</v>
      </c>
      <c r="B17" s="636" t="s">
        <v>87</v>
      </c>
      <c r="C17" s="636"/>
      <c r="D17" s="582" t="s">
        <v>342</v>
      </c>
      <c r="E17" s="575"/>
      <c r="F17" s="649" t="s">
        <v>89</v>
      </c>
      <c r="G17" s="582" t="s">
        <v>343</v>
      </c>
      <c r="H17" s="575"/>
      <c r="I17" s="575"/>
      <c r="J17" s="575"/>
      <c r="K17" s="565"/>
      <c r="L17" s="636">
        <f>B13</f>
        <v>2</v>
      </c>
      <c r="M17" s="636">
        <f>C13</f>
        <v>2</v>
      </c>
      <c r="N17" s="636">
        <f>D13</f>
        <v>0</v>
      </c>
      <c r="O17" s="641">
        <f>E13</f>
        <v>2</v>
      </c>
    </row>
    <row r="18" spans="1:15" ht="15.75" customHeight="1">
      <c r="A18" s="187" t="s">
        <v>344</v>
      </c>
      <c r="B18" s="636"/>
      <c r="C18" s="636"/>
      <c r="D18" s="582" t="s">
        <v>345</v>
      </c>
      <c r="E18" s="575"/>
      <c r="F18" s="650"/>
      <c r="G18" s="582" t="s">
        <v>93</v>
      </c>
      <c r="H18" s="575"/>
      <c r="I18" s="575"/>
      <c r="J18" s="575"/>
      <c r="K18" s="565"/>
      <c r="L18" s="636"/>
      <c r="M18" s="636"/>
      <c r="N18" s="636"/>
      <c r="O18" s="641"/>
    </row>
    <row r="19" spans="1:15" ht="15.75" customHeight="1">
      <c r="A19" s="187"/>
      <c r="B19" s="181"/>
      <c r="C19" s="181"/>
      <c r="D19" s="41"/>
      <c r="E19" s="41"/>
      <c r="F19" s="182"/>
      <c r="G19" s="41"/>
      <c r="H19" s="41"/>
      <c r="I19" s="41"/>
      <c r="J19" s="41"/>
      <c r="K19" s="41"/>
      <c r="L19" s="182"/>
      <c r="M19" s="181"/>
      <c r="N19" s="181"/>
      <c r="O19" s="196"/>
    </row>
    <row r="20" spans="1:15" ht="22.5" customHeight="1">
      <c r="A20" s="197" t="s">
        <v>346</v>
      </c>
      <c r="B20" s="634">
        <f>BILL!AH27+BILL!AH38</f>
        <v>0</v>
      </c>
      <c r="C20" s="634"/>
      <c r="D20" s="640" t="s">
        <v>347</v>
      </c>
      <c r="E20" s="640"/>
      <c r="F20" s="640"/>
      <c r="G20" s="634">
        <f>BILL!AH27</f>
        <v>0</v>
      </c>
      <c r="H20" s="634"/>
      <c r="I20" s="634"/>
      <c r="J20" s="640" t="s">
        <v>348</v>
      </c>
      <c r="K20" s="640"/>
      <c r="L20" s="640"/>
      <c r="M20" s="634">
        <f>BILL!AH38</f>
        <v>0</v>
      </c>
      <c r="N20" s="634"/>
      <c r="O20" s="639"/>
    </row>
    <row r="21" spans="1:15" ht="15.75" customHeight="1">
      <c r="A21" s="198"/>
      <c r="B21" s="29"/>
      <c r="C21" s="29"/>
      <c r="D21" s="174"/>
      <c r="E21" s="174"/>
      <c r="F21" s="174"/>
      <c r="G21" s="182"/>
      <c r="H21" s="182"/>
      <c r="I21" s="182"/>
      <c r="J21" s="174"/>
      <c r="K21" s="174"/>
      <c r="L21" s="174"/>
      <c r="M21" s="182"/>
      <c r="N21" s="182"/>
      <c r="O21" s="200"/>
    </row>
    <row r="22" spans="1:15" s="183" customFormat="1" ht="36" customHeight="1">
      <c r="A22" s="201" t="s">
        <v>349</v>
      </c>
      <c r="B22" s="647" t="str">
        <f>'BILL-P.F &amp; CASH'!A41</f>
        <v>RUPEES ZERO ONLY</v>
      </c>
      <c r="C22" s="647"/>
      <c r="D22" s="647"/>
      <c r="E22" s="647"/>
      <c r="F22" s="647"/>
      <c r="G22" s="647"/>
      <c r="H22" s="647"/>
      <c r="I22" s="647"/>
      <c r="J22" s="647"/>
      <c r="K22" s="647"/>
      <c r="L22" s="647"/>
      <c r="M22" s="647"/>
      <c r="N22" s="647"/>
      <c r="O22" s="648"/>
    </row>
    <row r="23" spans="1:15" ht="15.75" customHeight="1">
      <c r="A23" s="187" t="s">
        <v>350</v>
      </c>
      <c r="B23" s="560" t="str">
        <f>'WORK SHEET'!E21</f>
        <v>M.VENKATESWARLU</v>
      </c>
      <c r="C23" s="560"/>
      <c r="D23" s="560"/>
      <c r="E23" s="560"/>
      <c r="F23" s="560"/>
      <c r="G23" s="560"/>
      <c r="H23" s="33" t="s">
        <v>351</v>
      </c>
      <c r="I23" s="33"/>
      <c r="J23" s="33"/>
      <c r="K23" s="560" t="str">
        <f>'WORK SHEET'!E22</f>
        <v>S.A.(B.S.)</v>
      </c>
      <c r="L23" s="560"/>
      <c r="M23" s="560"/>
      <c r="N23" s="560"/>
      <c r="O23" s="642"/>
    </row>
    <row r="24" spans="1:15" ht="15.75" customHeight="1">
      <c r="A24" s="646" t="s">
        <v>352</v>
      </c>
      <c r="B24" s="575"/>
      <c r="C24" s="575"/>
      <c r="D24" s="575"/>
      <c r="E24" s="33"/>
      <c r="F24" s="33"/>
      <c r="G24" s="33"/>
      <c r="H24" s="33"/>
      <c r="I24" s="33"/>
      <c r="J24" s="33"/>
      <c r="K24" s="33"/>
      <c r="L24" s="33"/>
      <c r="M24" s="33"/>
      <c r="N24" s="33"/>
      <c r="O24" s="188"/>
    </row>
    <row r="25" spans="1:15" ht="15.75" customHeight="1">
      <c r="A25" s="199"/>
      <c r="B25" s="41"/>
      <c r="C25" s="41"/>
      <c r="D25" s="41"/>
      <c r="E25" s="33"/>
      <c r="F25" s="33"/>
      <c r="G25" s="33"/>
      <c r="H25" s="33"/>
      <c r="I25" s="33"/>
      <c r="J25" s="33"/>
      <c r="K25" s="33"/>
      <c r="L25" s="33"/>
      <c r="M25" s="33"/>
      <c r="N25" s="33"/>
      <c r="O25" s="188"/>
    </row>
    <row r="26" spans="1:15" ht="20.25" customHeight="1">
      <c r="A26" s="644" t="s">
        <v>353</v>
      </c>
      <c r="B26" s="645"/>
      <c r="C26" s="645"/>
      <c r="D26" s="645"/>
      <c r="E26" s="33">
        <v>1</v>
      </c>
      <c r="F26" s="33"/>
      <c r="G26" s="33"/>
      <c r="H26" s="33"/>
      <c r="I26" s="33"/>
      <c r="J26" s="33"/>
      <c r="K26" s="33"/>
      <c r="L26" s="33"/>
      <c r="M26" s="33"/>
      <c r="N26" s="33"/>
      <c r="O26" s="188"/>
    </row>
    <row r="27" spans="1:15" ht="20.25" customHeight="1">
      <c r="A27" s="187"/>
      <c r="B27" s="33"/>
      <c r="C27" s="33"/>
      <c r="D27" s="33"/>
      <c r="E27" s="33">
        <v>2</v>
      </c>
      <c r="F27" s="33"/>
      <c r="G27" s="33"/>
      <c r="H27" s="33"/>
      <c r="I27" s="33"/>
      <c r="J27" s="33"/>
      <c r="K27" s="33"/>
      <c r="L27" s="33"/>
      <c r="M27" s="33"/>
      <c r="N27" s="33"/>
      <c r="O27" s="188"/>
    </row>
    <row r="28" spans="1:15" ht="15.75" customHeight="1">
      <c r="A28" s="187"/>
      <c r="B28" s="33"/>
      <c r="C28" s="33"/>
      <c r="D28" s="33"/>
      <c r="E28" s="33"/>
      <c r="F28" s="33"/>
      <c r="G28" s="33"/>
      <c r="H28" s="33"/>
      <c r="I28" s="33"/>
      <c r="J28" s="33"/>
      <c r="K28" s="33"/>
      <c r="L28" s="33"/>
      <c r="M28" s="33"/>
      <c r="N28" s="33"/>
      <c r="O28" s="188"/>
    </row>
    <row r="29" spans="1:15" ht="15.75" customHeight="1">
      <c r="A29" s="187"/>
      <c r="B29" s="33"/>
      <c r="C29" s="33"/>
      <c r="D29" s="33"/>
      <c r="E29" s="33"/>
      <c r="F29" s="33"/>
      <c r="G29" s="33"/>
      <c r="H29" s="33"/>
      <c r="I29" s="33"/>
      <c r="J29" s="33"/>
      <c r="K29" s="33"/>
      <c r="L29" s="33"/>
      <c r="M29" s="33"/>
      <c r="N29" s="33"/>
      <c r="O29" s="188"/>
    </row>
    <row r="30" spans="1:15" ht="15.75" customHeight="1">
      <c r="A30" s="187"/>
      <c r="B30" s="33"/>
      <c r="C30" s="33"/>
      <c r="D30" s="33"/>
      <c r="E30" s="33"/>
      <c r="F30" s="33"/>
      <c r="G30" s="33"/>
      <c r="H30" s="33"/>
      <c r="I30" s="33"/>
      <c r="J30" s="33"/>
      <c r="K30" s="33"/>
      <c r="L30" s="33"/>
      <c r="M30" s="33"/>
      <c r="N30" s="33"/>
      <c r="O30" s="188"/>
    </row>
    <row r="31" spans="1:15" ht="15.75" customHeight="1">
      <c r="A31" s="187" t="s">
        <v>354</v>
      </c>
      <c r="B31" s="33"/>
      <c r="C31" s="33"/>
      <c r="D31" s="33"/>
      <c r="E31" s="575" t="s">
        <v>355</v>
      </c>
      <c r="F31" s="575"/>
      <c r="G31" s="575"/>
      <c r="H31" s="33"/>
      <c r="I31" s="33"/>
      <c r="J31" s="33"/>
      <c r="K31" s="33"/>
      <c r="L31" s="575" t="s">
        <v>356</v>
      </c>
      <c r="M31" s="575"/>
      <c r="N31" s="575"/>
      <c r="O31" s="635"/>
    </row>
    <row r="32" spans="1:15" ht="15.75" customHeight="1">
      <c r="A32" s="646"/>
      <c r="B32" s="33"/>
      <c r="C32" s="33"/>
      <c r="D32" s="33"/>
      <c r="E32" s="33"/>
      <c r="F32" s="33"/>
      <c r="G32" s="33"/>
      <c r="H32" s="33"/>
      <c r="I32" s="33"/>
      <c r="J32" s="33"/>
      <c r="K32" s="33"/>
      <c r="L32" s="33"/>
      <c r="M32" s="33"/>
      <c r="N32" s="33"/>
      <c r="O32" s="188"/>
    </row>
    <row r="33" spans="1:15" ht="15.75" customHeight="1">
      <c r="A33" s="646"/>
      <c r="B33" s="33"/>
      <c r="C33" s="33"/>
      <c r="D33" s="33"/>
      <c r="E33" s="33" t="s">
        <v>357</v>
      </c>
      <c r="F33" s="33"/>
      <c r="G33" s="33"/>
      <c r="H33" s="33"/>
      <c r="I33" s="33"/>
      <c r="J33" s="33"/>
      <c r="K33" s="33"/>
      <c r="L33" s="33"/>
      <c r="M33" s="575"/>
      <c r="N33" s="575"/>
      <c r="O33" s="188"/>
    </row>
    <row r="34" spans="1:15" ht="15.75" customHeight="1">
      <c r="A34" s="199"/>
      <c r="B34" s="33"/>
      <c r="C34" s="33"/>
      <c r="D34" s="33"/>
      <c r="E34" s="33"/>
      <c r="F34" s="33"/>
      <c r="G34" s="33"/>
      <c r="H34" s="33"/>
      <c r="I34" s="33"/>
      <c r="J34" s="33"/>
      <c r="K34" s="33"/>
      <c r="L34" s="33"/>
      <c r="M34" s="575"/>
      <c r="N34" s="575"/>
      <c r="O34" s="188"/>
    </row>
    <row r="35" spans="1:15" ht="15.75" customHeight="1">
      <c r="A35" s="187"/>
      <c r="B35" s="33"/>
      <c r="C35" s="33"/>
      <c r="D35" s="33"/>
      <c r="E35" s="33"/>
      <c r="F35" s="33"/>
      <c r="G35" s="33"/>
      <c r="H35" s="33"/>
      <c r="I35" s="33"/>
      <c r="J35" s="33"/>
      <c r="K35" s="33"/>
      <c r="L35" s="33"/>
      <c r="M35" s="33"/>
      <c r="N35" s="33"/>
      <c r="O35" s="188"/>
    </row>
    <row r="36" spans="1:15" ht="12.75">
      <c r="A36" s="187"/>
      <c r="B36" s="33"/>
      <c r="C36" s="33"/>
      <c r="D36" s="33"/>
      <c r="E36" s="33"/>
      <c r="F36" s="33"/>
      <c r="G36" s="33"/>
      <c r="H36" s="33"/>
      <c r="I36" s="33"/>
      <c r="J36" s="33"/>
      <c r="K36" s="33"/>
      <c r="L36" s="33"/>
      <c r="M36" s="33"/>
      <c r="N36" s="33"/>
      <c r="O36" s="188"/>
    </row>
    <row r="37" spans="1:15" ht="12.75">
      <c r="A37" s="187"/>
      <c r="B37" s="33"/>
      <c r="C37" s="33"/>
      <c r="D37" s="33"/>
      <c r="E37" s="33"/>
      <c r="F37" s="33"/>
      <c r="G37" s="33"/>
      <c r="H37" s="33"/>
      <c r="I37" s="33"/>
      <c r="J37" s="33"/>
      <c r="K37" s="33"/>
      <c r="L37" s="33"/>
      <c r="M37" s="33"/>
      <c r="N37" s="33"/>
      <c r="O37" s="188"/>
    </row>
    <row r="38" spans="1:15" ht="12.75">
      <c r="A38" s="187"/>
      <c r="B38" s="33"/>
      <c r="C38" s="33"/>
      <c r="D38" s="33"/>
      <c r="E38" s="33"/>
      <c r="F38" s="33"/>
      <c r="G38" s="33"/>
      <c r="H38" s="33"/>
      <c r="I38" s="33"/>
      <c r="J38" s="33"/>
      <c r="K38" s="33"/>
      <c r="L38" s="33"/>
      <c r="M38" s="33"/>
      <c r="N38" s="33"/>
      <c r="O38" s="188"/>
    </row>
    <row r="39" spans="1:15" ht="13.5" thickBot="1">
      <c r="A39" s="202"/>
      <c r="B39" s="203"/>
      <c r="C39" s="203"/>
      <c r="D39" s="203"/>
      <c r="E39" s="203"/>
      <c r="F39" s="203"/>
      <c r="G39" s="203"/>
      <c r="H39" s="203"/>
      <c r="I39" s="203"/>
      <c r="J39" s="203"/>
      <c r="K39" s="203"/>
      <c r="L39" s="203"/>
      <c r="M39" s="203"/>
      <c r="N39" s="203"/>
      <c r="O39" s="204"/>
    </row>
    <row r="40" ht="13.5" thickTop="1"/>
  </sheetData>
  <sheetProtection password="E95C" sheet="1" objects="1" scenarios="1" selectLockedCells="1"/>
  <mergeCells count="41">
    <mergeCell ref="B22:O22"/>
    <mergeCell ref="G17:K17"/>
    <mergeCell ref="A24:D24"/>
    <mergeCell ref="B20:C20"/>
    <mergeCell ref="D18:E18"/>
    <mergeCell ref="F17:F18"/>
    <mergeCell ref="L17:L18"/>
    <mergeCell ref="M17:M18"/>
    <mergeCell ref="L31:O31"/>
    <mergeCell ref="B17:C18"/>
    <mergeCell ref="O17:O18"/>
    <mergeCell ref="M34:N34"/>
    <mergeCell ref="K23:O23"/>
    <mergeCell ref="A26:D26"/>
    <mergeCell ref="E31:G31"/>
    <mergeCell ref="D20:F20"/>
    <mergeCell ref="A32:A33"/>
    <mergeCell ref="M33:N33"/>
    <mergeCell ref="G18:K18"/>
    <mergeCell ref="B6:E6"/>
    <mergeCell ref="B23:G23"/>
    <mergeCell ref="B9:E9"/>
    <mergeCell ref="G20:I20"/>
    <mergeCell ref="I11:O11"/>
    <mergeCell ref="M20:O20"/>
    <mergeCell ref="J20:L20"/>
    <mergeCell ref="G16:I16"/>
    <mergeCell ref="B16:C16"/>
    <mergeCell ref="A1:O1"/>
    <mergeCell ref="A2:O2"/>
    <mergeCell ref="J5:O5"/>
    <mergeCell ref="B7:E7"/>
    <mergeCell ref="L7:O7"/>
    <mergeCell ref="J14:L14"/>
    <mergeCell ref="L16:N16"/>
    <mergeCell ref="K9:O9"/>
    <mergeCell ref="D17:E17"/>
    <mergeCell ref="B14:E14"/>
    <mergeCell ref="G14:H14"/>
    <mergeCell ref="N14:O14"/>
    <mergeCell ref="N17:N18"/>
  </mergeCells>
  <printOptions horizontalCentered="1"/>
  <pageMargins left="0.47" right="0.56" top="0.58" bottom="1" header="0.5" footer="0.5"/>
  <pageSetup horizontalDpi="300" verticalDpi="300" orientation="portrait" paperSize="5" r:id="rId2"/>
  <drawing r:id="rId1"/>
</worksheet>
</file>

<file path=xl/worksheets/sheet4.xml><?xml version="1.0" encoding="utf-8"?>
<worksheet xmlns="http://schemas.openxmlformats.org/spreadsheetml/2006/main" xmlns:r="http://schemas.openxmlformats.org/officeDocument/2006/relationships">
  <sheetPr codeName="Sheet4"/>
  <dimension ref="A1:P19"/>
  <sheetViews>
    <sheetView showGridLines="0" view="pageLayout" workbookViewId="0" topLeftCell="K22">
      <selection activeCell="A13" sqref="A13"/>
    </sheetView>
  </sheetViews>
  <sheetFormatPr defaultColWidth="9.140625" defaultRowHeight="12.75"/>
  <cols>
    <col min="1" max="1" width="6.00390625" style="9" customWidth="1"/>
    <col min="2" max="3" width="10.28125" style="9" customWidth="1"/>
    <col min="4" max="4" width="13.28125" style="9" customWidth="1"/>
    <col min="5" max="5" width="9.421875" style="9" customWidth="1"/>
    <col min="6" max="6" width="16.8515625" style="9" customWidth="1"/>
    <col min="7" max="7" width="10.57421875" style="9" customWidth="1"/>
    <col min="8" max="8" width="7.140625" style="9" customWidth="1"/>
    <col min="9" max="9" width="9.140625" style="9" customWidth="1"/>
    <col min="10" max="10" width="9.7109375" style="9" customWidth="1"/>
    <col min="11" max="15" width="9.140625" style="9" customWidth="1"/>
    <col min="16" max="16" width="12.7109375" style="9" customWidth="1"/>
    <col min="17" max="16384" width="9.140625" style="9" customWidth="1"/>
  </cols>
  <sheetData>
    <row r="1" spans="1:16" s="237" customFormat="1" ht="27" customHeight="1" thickTop="1">
      <c r="A1" s="576" t="s">
        <v>428</v>
      </c>
      <c r="B1" s="654"/>
      <c r="C1" s="654"/>
      <c r="D1" s="654"/>
      <c r="E1" s="654"/>
      <c r="F1" s="654"/>
      <c r="G1" s="655"/>
      <c r="I1" s="576" t="s">
        <v>429</v>
      </c>
      <c r="J1" s="654"/>
      <c r="K1" s="669"/>
      <c r="L1" s="669"/>
      <c r="M1" s="669"/>
      <c r="N1" s="669"/>
      <c r="O1" s="669"/>
      <c r="P1" s="670"/>
    </row>
    <row r="2" spans="1:16" ht="24.75" customHeight="1">
      <c r="A2" s="656" t="s">
        <v>378</v>
      </c>
      <c r="B2" s="657"/>
      <c r="C2" s="657"/>
      <c r="D2" s="657"/>
      <c r="E2" s="657"/>
      <c r="F2" s="657"/>
      <c r="G2" s="658"/>
      <c r="I2" s="656" t="s">
        <v>391</v>
      </c>
      <c r="J2" s="657"/>
      <c r="K2" s="657"/>
      <c r="L2" s="657"/>
      <c r="M2" s="657"/>
      <c r="N2" s="657"/>
      <c r="O2" s="657"/>
      <c r="P2" s="658"/>
    </row>
    <row r="3" spans="1:16" ht="24.75" customHeight="1">
      <c r="A3" s="656" t="s">
        <v>379</v>
      </c>
      <c r="B3" s="657"/>
      <c r="C3" s="657"/>
      <c r="D3" s="657"/>
      <c r="E3" s="657"/>
      <c r="F3" s="657"/>
      <c r="G3" s="658"/>
      <c r="I3" s="656" t="s">
        <v>392</v>
      </c>
      <c r="J3" s="657"/>
      <c r="K3" s="657"/>
      <c r="L3" s="657"/>
      <c r="M3" s="657"/>
      <c r="N3" s="657"/>
      <c r="O3" s="657"/>
      <c r="P3" s="658"/>
    </row>
    <row r="4" spans="1:16" ht="24.75" customHeight="1">
      <c r="A4" s="210" t="s">
        <v>380</v>
      </c>
      <c r="B4" s="33"/>
      <c r="C4" s="637" t="str">
        <f>'P. TOKEN'!I11</f>
        <v>SBI,ADDANKI</v>
      </c>
      <c r="D4" s="637"/>
      <c r="E4" s="637"/>
      <c r="F4" s="33"/>
      <c r="G4" s="188"/>
      <c r="I4" s="210" t="s">
        <v>393</v>
      </c>
      <c r="J4" s="72"/>
      <c r="K4" s="659" t="str">
        <f>C5</f>
        <v>07020308008</v>
      </c>
      <c r="L4" s="659"/>
      <c r="M4" s="659"/>
      <c r="N4" s="205"/>
      <c r="O4" s="33"/>
      <c r="P4" s="211"/>
    </row>
    <row r="5" spans="1:16" ht="44.25" customHeight="1">
      <c r="A5" s="210" t="s">
        <v>381</v>
      </c>
      <c r="B5" s="33"/>
      <c r="C5" s="659" t="str">
        <f>'P. TOKEN'!B7</f>
        <v>07020308008</v>
      </c>
      <c r="D5" s="659"/>
      <c r="E5" s="33"/>
      <c r="F5" s="33" t="s">
        <v>382</v>
      </c>
      <c r="G5" s="211"/>
      <c r="I5" s="210" t="s">
        <v>394</v>
      </c>
      <c r="J5" s="72"/>
      <c r="K5" s="647" t="str">
        <f>'WORK SHEET'!E16</f>
        <v>P. GURUCHANDRA PRASAD B.Sc,B.Ed.,</v>
      </c>
      <c r="L5" s="647"/>
      <c r="M5" s="671" t="str">
        <f>'ANNEX-I &amp; II'!C6</f>
        <v>M.E.O.</v>
      </c>
      <c r="N5" s="671"/>
      <c r="O5" s="72" t="s">
        <v>150</v>
      </c>
      <c r="P5" s="211"/>
    </row>
    <row r="6" spans="1:16" s="33" customFormat="1" ht="27" customHeight="1">
      <c r="A6" s="210" t="s">
        <v>383</v>
      </c>
      <c r="C6" s="580" t="str">
        <f>'P. TOKEN'!B9</f>
        <v>M.E.O.</v>
      </c>
      <c r="D6" s="580"/>
      <c r="E6" s="580"/>
      <c r="F6" s="72" t="s">
        <v>384</v>
      </c>
      <c r="G6" s="188"/>
      <c r="I6" s="210" t="s">
        <v>395</v>
      </c>
      <c r="J6" s="72"/>
      <c r="K6" s="637" t="str">
        <f>'WORK SHEET'!E18</f>
        <v>STO, ADDANKI</v>
      </c>
      <c r="L6" s="637"/>
      <c r="M6" s="72"/>
      <c r="N6" s="72"/>
      <c r="O6" s="206" t="s">
        <v>396</v>
      </c>
      <c r="P6" s="211"/>
    </row>
    <row r="7" spans="1:16" s="33" customFormat="1" ht="12" customHeight="1">
      <c r="A7" s="212"/>
      <c r="B7" s="43"/>
      <c r="C7" s="173"/>
      <c r="D7" s="173"/>
      <c r="E7" s="173"/>
      <c r="F7" s="170"/>
      <c r="G7" s="213"/>
      <c r="I7" s="210"/>
      <c r="J7" s="170"/>
      <c r="K7" s="175"/>
      <c r="L7" s="175"/>
      <c r="M7" s="170"/>
      <c r="N7" s="170"/>
      <c r="O7" s="207"/>
      <c r="P7" s="219"/>
    </row>
    <row r="8" spans="1:16" s="78" customFormat="1" ht="35.25" customHeight="1">
      <c r="A8" s="214" t="s">
        <v>140</v>
      </c>
      <c r="B8" s="163" t="s">
        <v>143</v>
      </c>
      <c r="C8" s="651" t="s">
        <v>385</v>
      </c>
      <c r="D8" s="652"/>
      <c r="E8" s="653"/>
      <c r="F8" s="163" t="s">
        <v>386</v>
      </c>
      <c r="G8" s="215" t="s">
        <v>387</v>
      </c>
      <c r="I8" s="220" t="s">
        <v>140</v>
      </c>
      <c r="J8" s="651" t="s">
        <v>397</v>
      </c>
      <c r="K8" s="652"/>
      <c r="L8" s="653"/>
      <c r="M8" s="651" t="s">
        <v>398</v>
      </c>
      <c r="N8" s="652"/>
      <c r="O8" s="653"/>
      <c r="P8" s="221" t="s">
        <v>399</v>
      </c>
    </row>
    <row r="9" spans="1:16" ht="39" customHeight="1">
      <c r="A9" s="216">
        <v>1</v>
      </c>
      <c r="B9" s="315" t="str">
        <f>'WORK SHEET'!E7</f>
        <v>0718386</v>
      </c>
      <c r="C9" s="681" t="str">
        <f>'WORK SHEET'!E2</f>
        <v>P.BRAMHANANDA REDDY</v>
      </c>
      <c r="D9" s="682"/>
      <c r="E9" s="208" t="str">
        <f>IF('WORK SHEET'!E42='WORK SHEET'!O107,'WORK SHEET'!E45,'WORK SHEET'!E25)</f>
        <v>H.M.</v>
      </c>
      <c r="F9" s="209">
        <f>'WORK SHEET'!E8</f>
        <v>11389175433</v>
      </c>
      <c r="G9" s="217">
        <f>'P. TOKEN'!M20</f>
        <v>0</v>
      </c>
      <c r="I9" s="216">
        <v>1</v>
      </c>
      <c r="J9" s="651" t="str">
        <f>C4</f>
        <v>SBI,ADDANKI</v>
      </c>
      <c r="K9" s="652"/>
      <c r="L9" s="653"/>
      <c r="M9" s="672" t="str">
        <f>CONCATENATE("Arrear bill of Sri/Smt ",'WORK SHEET'!E2," of ",'WORK SHEET'!E3," ",'WORK SHEET'!E4," for AAS increments")</f>
        <v>Arrear bill of Sri/Smt P.BRAMHANANDA REDDY of MPPS, CHAKRAYAPALEM for AAS increments</v>
      </c>
      <c r="N9" s="673"/>
      <c r="O9" s="674"/>
      <c r="P9" s="222">
        <f>G9</f>
        <v>0</v>
      </c>
    </row>
    <row r="10" spans="1:16" ht="32.25" customHeight="1">
      <c r="A10" s="216"/>
      <c r="B10" s="103"/>
      <c r="C10" s="663" t="s">
        <v>148</v>
      </c>
      <c r="D10" s="634"/>
      <c r="E10" s="664"/>
      <c r="F10" s="171"/>
      <c r="G10" s="217">
        <f>G9</f>
        <v>0</v>
      </c>
      <c r="I10" s="223"/>
      <c r="J10" s="562"/>
      <c r="K10" s="563"/>
      <c r="L10" s="662"/>
      <c r="M10" s="675"/>
      <c r="N10" s="676"/>
      <c r="O10" s="677"/>
      <c r="P10" s="191"/>
    </row>
    <row r="11" spans="1:16" ht="24.75" customHeight="1" hidden="1">
      <c r="A11" s="683" t="s">
        <v>698</v>
      </c>
      <c r="B11" s="684"/>
      <c r="C11" s="684"/>
      <c r="D11" s="684"/>
      <c r="E11" s="684"/>
      <c r="F11" s="684"/>
      <c r="G11" s="685"/>
      <c r="I11" s="223"/>
      <c r="J11" s="562"/>
      <c r="K11" s="563"/>
      <c r="L11" s="662"/>
      <c r="M11" s="675"/>
      <c r="N11" s="676"/>
      <c r="O11" s="677"/>
      <c r="P11" s="191"/>
    </row>
    <row r="12" spans="1:16" ht="31.5" customHeight="1">
      <c r="A12" s="686" t="str">
        <f>'P. TOKEN'!B22</f>
        <v>RUPEES ZERO ONLY</v>
      </c>
      <c r="B12" s="687"/>
      <c r="C12" s="687"/>
      <c r="D12" s="687"/>
      <c r="E12" s="687"/>
      <c r="F12" s="687"/>
      <c r="G12" s="688"/>
      <c r="I12" s="223"/>
      <c r="J12" s="562"/>
      <c r="K12" s="563"/>
      <c r="L12" s="662"/>
      <c r="M12" s="678"/>
      <c r="N12" s="679"/>
      <c r="O12" s="680"/>
      <c r="P12" s="191"/>
    </row>
    <row r="13" spans="1:16" ht="24.75" customHeight="1">
      <c r="A13" s="187"/>
      <c r="B13" s="33"/>
      <c r="C13" s="33"/>
      <c r="D13" s="33"/>
      <c r="E13" s="33"/>
      <c r="F13" s="33"/>
      <c r="G13" s="218"/>
      <c r="I13" s="223"/>
      <c r="J13" s="562"/>
      <c r="K13" s="563"/>
      <c r="L13" s="662"/>
      <c r="M13" s="663" t="s">
        <v>148</v>
      </c>
      <c r="N13" s="634"/>
      <c r="O13" s="664"/>
      <c r="P13" s="222">
        <f>P9</f>
        <v>0</v>
      </c>
    </row>
    <row r="14" spans="1:16" ht="30" customHeight="1">
      <c r="A14" s="187"/>
      <c r="B14" s="33"/>
      <c r="C14" s="33"/>
      <c r="D14" s="33"/>
      <c r="E14" s="33"/>
      <c r="F14" s="33"/>
      <c r="G14" s="211"/>
      <c r="I14" s="666" t="str">
        <f>A12</f>
        <v>RUPEES ZERO ONLY</v>
      </c>
      <c r="J14" s="667"/>
      <c r="K14" s="667"/>
      <c r="L14" s="667"/>
      <c r="M14" s="667"/>
      <c r="N14" s="667"/>
      <c r="O14" s="667"/>
      <c r="P14" s="668"/>
    </row>
    <row r="15" spans="1:16" ht="24.75" customHeight="1">
      <c r="A15" s="661" t="s">
        <v>388</v>
      </c>
      <c r="B15" s="637"/>
      <c r="C15" s="637"/>
      <c r="D15" s="33"/>
      <c r="E15" s="33"/>
      <c r="F15" s="637" t="s">
        <v>389</v>
      </c>
      <c r="G15" s="638"/>
      <c r="I15" s="665"/>
      <c r="J15" s="580"/>
      <c r="K15" s="580"/>
      <c r="L15" s="580"/>
      <c r="M15" s="580"/>
      <c r="N15" s="580"/>
      <c r="O15" s="580"/>
      <c r="P15" s="581"/>
    </row>
    <row r="16" spans="1:16" ht="24.75" customHeight="1">
      <c r="A16" s="661" t="s">
        <v>390</v>
      </c>
      <c r="B16" s="637"/>
      <c r="C16" s="637"/>
      <c r="D16" s="33"/>
      <c r="E16" s="33"/>
      <c r="F16" s="637" t="s">
        <v>390</v>
      </c>
      <c r="G16" s="638"/>
      <c r="I16" s="187"/>
      <c r="J16" s="33"/>
      <c r="K16" s="33"/>
      <c r="L16" s="33"/>
      <c r="M16" s="33"/>
      <c r="N16" s="33"/>
      <c r="O16" s="33"/>
      <c r="P16" s="188"/>
    </row>
    <row r="17" spans="1:16" s="78" customFormat="1" ht="24.75" customHeight="1">
      <c r="A17" s="187"/>
      <c r="B17" s="33"/>
      <c r="C17" s="33"/>
      <c r="D17" s="33"/>
      <c r="E17" s="33"/>
      <c r="F17" s="33"/>
      <c r="G17" s="188"/>
      <c r="I17" s="661" t="s">
        <v>354</v>
      </c>
      <c r="J17" s="637"/>
      <c r="K17" s="72"/>
      <c r="L17" s="72"/>
      <c r="M17" s="72"/>
      <c r="N17" s="72"/>
      <c r="O17" s="637" t="s">
        <v>400</v>
      </c>
      <c r="P17" s="638"/>
    </row>
    <row r="18" spans="1:16" ht="24.75" customHeight="1" thickBot="1">
      <c r="A18" s="202"/>
      <c r="B18" s="203"/>
      <c r="C18" s="203"/>
      <c r="D18" s="203"/>
      <c r="E18" s="203"/>
      <c r="F18" s="203"/>
      <c r="G18" s="204"/>
      <c r="I18" s="202"/>
      <c r="J18" s="203"/>
      <c r="K18" s="203"/>
      <c r="L18" s="203"/>
      <c r="M18" s="203"/>
      <c r="N18" s="203"/>
      <c r="O18" s="203"/>
      <c r="P18" s="204"/>
    </row>
    <row r="19" spans="1:16" ht="24.75" customHeight="1" thickTop="1">
      <c r="A19" s="660"/>
      <c r="B19" s="660"/>
      <c r="C19" s="660"/>
      <c r="D19" s="660"/>
      <c r="E19" s="660"/>
      <c r="F19" s="660"/>
      <c r="G19" s="660"/>
      <c r="H19" s="660"/>
      <c r="I19" s="660"/>
      <c r="J19" s="660"/>
      <c r="K19" s="660"/>
      <c r="L19" s="660"/>
      <c r="M19" s="660"/>
      <c r="N19" s="660"/>
      <c r="O19" s="660"/>
      <c r="P19" s="660"/>
    </row>
  </sheetData>
  <sheetProtection password="E95C" sheet="1" selectLockedCells="1"/>
  <mergeCells count="36">
    <mergeCell ref="C10:E10"/>
    <mergeCell ref="A15:C15"/>
    <mergeCell ref="C9:D9"/>
    <mergeCell ref="A16:C16"/>
    <mergeCell ref="A11:G11"/>
    <mergeCell ref="F15:G15"/>
    <mergeCell ref="F16:G16"/>
    <mergeCell ref="A12:G12"/>
    <mergeCell ref="K4:M4"/>
    <mergeCell ref="J12:L12"/>
    <mergeCell ref="M5:N5"/>
    <mergeCell ref="J11:L11"/>
    <mergeCell ref="J10:L10"/>
    <mergeCell ref="M9:O12"/>
    <mergeCell ref="M8:O8"/>
    <mergeCell ref="A19:P19"/>
    <mergeCell ref="I17:J17"/>
    <mergeCell ref="O17:P17"/>
    <mergeCell ref="J13:L13"/>
    <mergeCell ref="M13:O13"/>
    <mergeCell ref="I15:P15"/>
    <mergeCell ref="I14:P14"/>
    <mergeCell ref="J9:L9"/>
    <mergeCell ref="K6:L6"/>
    <mergeCell ref="A1:G1"/>
    <mergeCell ref="A2:G2"/>
    <mergeCell ref="A3:G3"/>
    <mergeCell ref="C5:D5"/>
    <mergeCell ref="C4:E4"/>
    <mergeCell ref="I1:P1"/>
    <mergeCell ref="I2:P2"/>
    <mergeCell ref="I3:P3"/>
    <mergeCell ref="C6:E6"/>
    <mergeCell ref="K5:L5"/>
    <mergeCell ref="J8:L8"/>
    <mergeCell ref="C8:E8"/>
  </mergeCells>
  <printOptions horizontalCentered="1"/>
  <pageMargins left="0.41" right="0.52" top="0.59" bottom="1" header="0.5" footer="0.5"/>
  <pageSetup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codeName="Sheet5"/>
  <dimension ref="A1:P34"/>
  <sheetViews>
    <sheetView showGridLines="0" zoomScalePageLayoutView="0" workbookViewId="0" topLeftCell="A4">
      <selection activeCell="L16" sqref="L16:P16"/>
    </sheetView>
  </sheetViews>
  <sheetFormatPr defaultColWidth="9.140625" defaultRowHeight="12.75"/>
  <cols>
    <col min="1" max="1" width="5.140625" style="9" customWidth="1"/>
    <col min="2" max="2" width="11.57421875" style="9" customWidth="1"/>
    <col min="3" max="3" width="3.421875" style="9" customWidth="1"/>
    <col min="4" max="4" width="2.57421875" style="9" customWidth="1"/>
    <col min="5" max="5" width="2.7109375" style="9" customWidth="1"/>
    <col min="6" max="6" width="5.140625" style="9" customWidth="1"/>
    <col min="7" max="7" width="4.57421875" style="9" customWidth="1"/>
    <col min="8" max="8" width="2.7109375" style="9" customWidth="1"/>
    <col min="9" max="9" width="3.28125" style="9" customWidth="1"/>
    <col min="10" max="10" width="2.8515625" style="9" customWidth="1"/>
    <col min="11" max="11" width="10.00390625" style="9" customWidth="1"/>
    <col min="12" max="12" width="12.57421875" style="9" customWidth="1"/>
    <col min="13" max="16" width="4.8515625" style="9" customWidth="1"/>
    <col min="17" max="16384" width="9.140625" style="9" customWidth="1"/>
  </cols>
  <sheetData>
    <row r="1" spans="1:16" ht="30.75" thickTop="1">
      <c r="A1" s="576" t="s">
        <v>358</v>
      </c>
      <c r="B1" s="654"/>
      <c r="C1" s="654"/>
      <c r="D1" s="654"/>
      <c r="E1" s="654"/>
      <c r="F1" s="654"/>
      <c r="G1" s="654"/>
      <c r="H1" s="654"/>
      <c r="I1" s="654"/>
      <c r="J1" s="654"/>
      <c r="K1" s="654"/>
      <c r="L1" s="654"/>
      <c r="M1" s="654"/>
      <c r="N1" s="654"/>
      <c r="O1" s="654"/>
      <c r="P1" s="655"/>
    </row>
    <row r="2" spans="1:16" ht="20.25" customHeight="1">
      <c r="A2" s="646" t="s">
        <v>359</v>
      </c>
      <c r="B2" s="575"/>
      <c r="C2" s="575"/>
      <c r="D2" s="575"/>
      <c r="E2" s="575"/>
      <c r="F2" s="575"/>
      <c r="G2" s="575"/>
      <c r="H2" s="575"/>
      <c r="I2" s="575"/>
      <c r="J2" s="575"/>
      <c r="K2" s="575"/>
      <c r="L2" s="575"/>
      <c r="M2" s="575"/>
      <c r="N2" s="575"/>
      <c r="O2" s="575"/>
      <c r="P2" s="635"/>
    </row>
    <row r="3" spans="1:16" ht="20.25" customHeight="1">
      <c r="A3" s="646" t="s">
        <v>360</v>
      </c>
      <c r="B3" s="575"/>
      <c r="C3" s="575"/>
      <c r="D3" s="575"/>
      <c r="E3" s="575"/>
      <c r="F3" s="575"/>
      <c r="G3" s="575"/>
      <c r="H3" s="575"/>
      <c r="I3" s="575"/>
      <c r="J3" s="575"/>
      <c r="K3" s="575"/>
      <c r="L3" s="575"/>
      <c r="M3" s="575"/>
      <c r="N3" s="575"/>
      <c r="O3" s="575"/>
      <c r="P3" s="635"/>
    </row>
    <row r="4" spans="1:16" ht="20.25" customHeight="1">
      <c r="A4" s="199"/>
      <c r="B4" s="41"/>
      <c r="C4" s="41"/>
      <c r="D4" s="41"/>
      <c r="E4" s="41"/>
      <c r="F4" s="41"/>
      <c r="G4" s="41"/>
      <c r="H4" s="41"/>
      <c r="I4" s="41"/>
      <c r="J4" s="41"/>
      <c r="K4" s="41"/>
      <c r="L4" s="41"/>
      <c r="M4" s="41"/>
      <c r="N4" s="41"/>
      <c r="O4" s="41"/>
      <c r="P4" s="192"/>
    </row>
    <row r="5" spans="1:16" ht="15.75" customHeight="1">
      <c r="A5" s="199"/>
      <c r="B5" s="41"/>
      <c r="C5" s="41"/>
      <c r="D5" s="41"/>
      <c r="E5" s="41"/>
      <c r="F5" s="41"/>
      <c r="G5" s="41"/>
      <c r="H5" s="41"/>
      <c r="I5" s="41"/>
      <c r="J5" s="41"/>
      <c r="K5" s="41"/>
      <c r="L5" s="41"/>
      <c r="M5" s="41"/>
      <c r="N5" s="41"/>
      <c r="O5" s="41"/>
      <c r="P5" s="192"/>
    </row>
    <row r="6" spans="1:16" ht="20.25" customHeight="1">
      <c r="A6" s="187" t="s">
        <v>361</v>
      </c>
      <c r="B6" s="33"/>
      <c r="C6" s="33"/>
      <c r="D6" s="574" t="str">
        <f>'P. TOKEN'!B7</f>
        <v>07020308008</v>
      </c>
      <c r="E6" s="574"/>
      <c r="F6" s="574"/>
      <c r="G6" s="574"/>
      <c r="H6" s="574"/>
      <c r="I6" s="574"/>
      <c r="J6" s="33"/>
      <c r="K6" s="33" t="s">
        <v>362</v>
      </c>
      <c r="L6" s="33"/>
      <c r="M6" s="224">
        <f>'P. TOKEN'!B5</f>
        <v>0</v>
      </c>
      <c r="N6" s="224">
        <f>'P. TOKEN'!C5</f>
        <v>7</v>
      </c>
      <c r="O6" s="224">
        <f>'P. TOKEN'!D5</f>
        <v>0</v>
      </c>
      <c r="P6" s="228">
        <f>'P. TOKEN'!E5</f>
        <v>2</v>
      </c>
    </row>
    <row r="7" spans="1:16" ht="20.25" customHeight="1">
      <c r="A7" s="187"/>
      <c r="B7" s="33"/>
      <c r="C7" s="33"/>
      <c r="D7" s="225"/>
      <c r="E7" s="225"/>
      <c r="F7" s="225"/>
      <c r="G7" s="225"/>
      <c r="H7" s="225"/>
      <c r="I7" s="33"/>
      <c r="J7" s="33"/>
      <c r="K7" s="33"/>
      <c r="L7" s="33"/>
      <c r="M7" s="226"/>
      <c r="N7" s="226"/>
      <c r="O7" s="226"/>
      <c r="P7" s="229"/>
    </row>
    <row r="8" spans="1:16" ht="20.25" customHeight="1">
      <c r="A8" s="187" t="s">
        <v>329</v>
      </c>
      <c r="B8" s="33"/>
      <c r="C8" s="33"/>
      <c r="D8" s="580" t="str">
        <f>'P. TOKEN'!B9</f>
        <v>M.E.O.</v>
      </c>
      <c r="E8" s="580"/>
      <c r="F8" s="580"/>
      <c r="G8" s="580"/>
      <c r="H8" s="580"/>
      <c r="I8" s="580"/>
      <c r="J8" s="33"/>
      <c r="K8" s="33" t="s">
        <v>363</v>
      </c>
      <c r="L8" s="33"/>
      <c r="M8" s="560" t="str">
        <f>'P. TOKEN'!B6</f>
        <v>STO, ADDANKI</v>
      </c>
      <c r="N8" s="560"/>
      <c r="O8" s="560"/>
      <c r="P8" s="642"/>
    </row>
    <row r="9" spans="1:16" ht="20.25" customHeight="1">
      <c r="A9" s="187"/>
      <c r="B9" s="33"/>
      <c r="C9" s="33"/>
      <c r="D9" s="176"/>
      <c r="E9" s="176"/>
      <c r="F9" s="176"/>
      <c r="G9" s="176"/>
      <c r="H9" s="176"/>
      <c r="I9" s="176"/>
      <c r="J9" s="33"/>
      <c r="K9" s="33"/>
      <c r="L9" s="33"/>
      <c r="M9" s="29"/>
      <c r="N9" s="29"/>
      <c r="O9" s="29"/>
      <c r="P9" s="190"/>
    </row>
    <row r="10" spans="1:16" ht="20.25" customHeight="1">
      <c r="A10" s="210" t="s">
        <v>24</v>
      </c>
      <c r="B10" s="72"/>
      <c r="C10" s="72"/>
      <c r="D10" s="72"/>
      <c r="E10" s="72"/>
      <c r="F10" s="72"/>
      <c r="G10" s="72"/>
      <c r="H10" s="72"/>
      <c r="I10" s="72"/>
      <c r="J10" s="72"/>
      <c r="K10" s="33"/>
      <c r="L10" s="33"/>
      <c r="M10" s="33"/>
      <c r="N10" s="33"/>
      <c r="O10" s="33"/>
      <c r="P10" s="188"/>
    </row>
    <row r="11" spans="1:16" ht="20.25" customHeight="1">
      <c r="A11" s="210" t="s">
        <v>364</v>
      </c>
      <c r="B11" s="72"/>
      <c r="C11" s="72"/>
      <c r="D11" s="72"/>
      <c r="E11" s="72"/>
      <c r="F11" s="72"/>
      <c r="G11" s="72"/>
      <c r="H11" s="72"/>
      <c r="I11" s="72"/>
      <c r="J11" s="72"/>
      <c r="K11" s="33"/>
      <c r="L11" s="33"/>
      <c r="M11" s="33"/>
      <c r="N11" s="33"/>
      <c r="O11" s="33"/>
      <c r="P11" s="188"/>
    </row>
    <row r="12" spans="1:16" ht="20.25" customHeight="1">
      <c r="A12" s="210" t="s">
        <v>365</v>
      </c>
      <c r="B12" s="72"/>
      <c r="C12" s="72"/>
      <c r="D12" s="560" t="str">
        <f>'P. TOKEN'!I11</f>
        <v>SBI,ADDANKI</v>
      </c>
      <c r="E12" s="560"/>
      <c r="F12" s="560"/>
      <c r="G12" s="560"/>
      <c r="H12" s="560"/>
      <c r="I12" s="560"/>
      <c r="J12" s="560"/>
      <c r="K12" s="33"/>
      <c r="L12" s="33"/>
      <c r="M12" s="33"/>
      <c r="N12" s="33"/>
      <c r="O12" s="33"/>
      <c r="P12" s="188"/>
    </row>
    <row r="13" spans="1:16" ht="20.25" customHeight="1">
      <c r="A13" s="187"/>
      <c r="B13" s="33"/>
      <c r="C13" s="33"/>
      <c r="D13" s="33"/>
      <c r="E13" s="33"/>
      <c r="F13" s="33"/>
      <c r="G13" s="33"/>
      <c r="H13" s="33"/>
      <c r="I13" s="33"/>
      <c r="J13" s="33"/>
      <c r="K13" s="33"/>
      <c r="L13" s="33"/>
      <c r="M13" s="33"/>
      <c r="N13" s="33"/>
      <c r="O13" s="33"/>
      <c r="P13" s="188"/>
    </row>
    <row r="14" spans="1:16" ht="20.25" customHeight="1">
      <c r="A14" s="230" t="s">
        <v>366</v>
      </c>
      <c r="B14" s="227"/>
      <c r="C14" s="227"/>
      <c r="D14" s="227"/>
      <c r="E14" s="227"/>
      <c r="F14" s="695" t="s">
        <v>580</v>
      </c>
      <c r="G14" s="696"/>
      <c r="H14" s="227" t="s">
        <v>367</v>
      </c>
      <c r="I14" s="227"/>
      <c r="J14" s="691"/>
      <c r="K14" s="691"/>
      <c r="L14" s="227" t="s">
        <v>368</v>
      </c>
      <c r="M14" s="66"/>
      <c r="N14" s="689">
        <f>'P. TOKEN'!M20</f>
        <v>0</v>
      </c>
      <c r="O14" s="689"/>
      <c r="P14" s="690"/>
    </row>
    <row r="15" spans="1:16" ht="38.25" customHeight="1">
      <c r="A15" s="692" t="str">
        <f>'47-FRONT'!B59</f>
        <v>RUPEES ZERO ONLY</v>
      </c>
      <c r="B15" s="693"/>
      <c r="C15" s="693"/>
      <c r="D15" s="693"/>
      <c r="E15" s="693"/>
      <c r="F15" s="693"/>
      <c r="G15" s="693"/>
      <c r="H15" s="693"/>
      <c r="I15" s="693"/>
      <c r="J15" s="693"/>
      <c r="K15" s="693"/>
      <c r="L15" s="693"/>
      <c r="M15" s="693"/>
      <c r="N15" s="693"/>
      <c r="O15" s="693"/>
      <c r="P15" s="694"/>
    </row>
    <row r="16" spans="1:16" ht="20.25" customHeight="1">
      <c r="A16" s="187" t="s">
        <v>369</v>
      </c>
      <c r="B16" s="697" t="str">
        <f>'P. TOKEN'!B23&amp;", "&amp;'P. TOKEN'!K23</f>
        <v>M.VENKATESWARLU, S.A.(B.S.)</v>
      </c>
      <c r="C16" s="697"/>
      <c r="D16" s="697"/>
      <c r="E16" s="697"/>
      <c r="F16" s="697"/>
      <c r="G16" s="697"/>
      <c r="H16" s="697"/>
      <c r="I16" s="33" t="s">
        <v>370</v>
      </c>
      <c r="J16" s="33"/>
      <c r="K16" s="33"/>
      <c r="L16" s="580" t="str">
        <f>'47-FRONT'!R12</f>
        <v>MRC, ADDANKI</v>
      </c>
      <c r="M16" s="580"/>
      <c r="N16" s="580"/>
      <c r="O16" s="580"/>
      <c r="P16" s="581"/>
    </row>
    <row r="17" spans="1:16" ht="20.25" customHeight="1">
      <c r="A17" s="644" t="s">
        <v>371</v>
      </c>
      <c r="B17" s="645"/>
      <c r="C17" s="645"/>
      <c r="D17" s="645"/>
      <c r="E17" s="645"/>
      <c r="F17" s="645"/>
      <c r="G17" s="645"/>
      <c r="H17" s="645"/>
      <c r="I17" s="645"/>
      <c r="J17" s="645"/>
      <c r="K17" s="645"/>
      <c r="L17" s="645"/>
      <c r="M17" s="645"/>
      <c r="N17" s="645"/>
      <c r="O17" s="645"/>
      <c r="P17" s="698"/>
    </row>
    <row r="18" spans="1:16" ht="20.25" customHeight="1">
      <c r="A18" s="199"/>
      <c r="B18" s="41"/>
      <c r="C18" s="41"/>
      <c r="D18" s="41"/>
      <c r="E18" s="41"/>
      <c r="F18" s="41"/>
      <c r="G18" s="41"/>
      <c r="H18" s="41"/>
      <c r="I18" s="41"/>
      <c r="J18" s="41"/>
      <c r="K18" s="41"/>
      <c r="L18" s="41"/>
      <c r="M18" s="41"/>
      <c r="N18" s="41"/>
      <c r="O18" s="41"/>
      <c r="P18" s="192"/>
    </row>
    <row r="19" spans="1:16" ht="20.25" customHeight="1">
      <c r="A19" s="187"/>
      <c r="B19" s="33"/>
      <c r="C19" s="33"/>
      <c r="D19" s="33"/>
      <c r="E19" s="33"/>
      <c r="F19" s="33"/>
      <c r="G19" s="33"/>
      <c r="H19" s="33"/>
      <c r="I19" s="33"/>
      <c r="J19" s="33"/>
      <c r="K19" s="33"/>
      <c r="L19" s="33"/>
      <c r="M19" s="33"/>
      <c r="N19" s="33"/>
      <c r="O19" s="33"/>
      <c r="P19" s="188"/>
    </row>
    <row r="20" spans="1:16" ht="20.25" customHeight="1">
      <c r="A20" s="187" t="s">
        <v>372</v>
      </c>
      <c r="B20" s="33"/>
      <c r="C20" s="33"/>
      <c r="D20" s="33"/>
      <c r="E20" s="33"/>
      <c r="F20" s="33"/>
      <c r="G20" s="33"/>
      <c r="H20" s="33"/>
      <c r="I20" s="33"/>
      <c r="J20" s="33"/>
      <c r="K20" s="575" t="s">
        <v>373</v>
      </c>
      <c r="L20" s="575"/>
      <c r="M20" s="575"/>
      <c r="N20" s="575"/>
      <c r="O20" s="575"/>
      <c r="P20" s="635"/>
    </row>
    <row r="21" spans="1:16" ht="20.25" customHeight="1">
      <c r="A21" s="187"/>
      <c r="B21" s="33"/>
      <c r="C21" s="33"/>
      <c r="D21" s="33"/>
      <c r="E21" s="33"/>
      <c r="F21" s="33"/>
      <c r="G21" s="33"/>
      <c r="H21" s="33"/>
      <c r="I21" s="33"/>
      <c r="J21" s="33"/>
      <c r="K21" s="33"/>
      <c r="L21" s="33"/>
      <c r="M21" s="33"/>
      <c r="N21" s="33"/>
      <c r="O21" s="33"/>
      <c r="P21" s="188"/>
    </row>
    <row r="22" spans="1:16" ht="20.25" customHeight="1">
      <c r="A22" s="187" t="s">
        <v>367</v>
      </c>
      <c r="B22" s="33"/>
      <c r="C22" s="33"/>
      <c r="D22" s="33"/>
      <c r="E22" s="33"/>
      <c r="F22" s="33"/>
      <c r="G22" s="33"/>
      <c r="H22" s="33"/>
      <c r="I22" s="33"/>
      <c r="J22" s="33"/>
      <c r="K22" s="174" t="s">
        <v>374</v>
      </c>
      <c r="L22" s="174"/>
      <c r="M22" s="33"/>
      <c r="N22" s="33"/>
      <c r="O22" s="33"/>
      <c r="P22" s="188"/>
    </row>
    <row r="23" spans="1:16" ht="20.25" customHeight="1">
      <c r="A23" s="646" t="s">
        <v>355</v>
      </c>
      <c r="B23" s="575"/>
      <c r="C23" s="575"/>
      <c r="D23" s="575"/>
      <c r="E23" s="41"/>
      <c r="F23" s="41"/>
      <c r="G23" s="41"/>
      <c r="H23" s="41"/>
      <c r="I23" s="33"/>
      <c r="J23" s="33"/>
      <c r="K23" s="33"/>
      <c r="L23" s="33"/>
      <c r="M23" s="33"/>
      <c r="N23" s="33"/>
      <c r="O23" s="33"/>
      <c r="P23" s="188"/>
    </row>
    <row r="24" spans="1:16" ht="20.25" customHeight="1">
      <c r="A24" s="199"/>
      <c r="B24" s="41"/>
      <c r="C24" s="41"/>
      <c r="D24" s="41"/>
      <c r="E24" s="41"/>
      <c r="F24" s="41"/>
      <c r="G24" s="41"/>
      <c r="H24" s="41"/>
      <c r="I24" s="33"/>
      <c r="J24" s="33"/>
      <c r="K24" s="33"/>
      <c r="L24" s="33"/>
      <c r="M24" s="33"/>
      <c r="N24" s="33"/>
      <c r="O24" s="33"/>
      <c r="P24" s="188"/>
    </row>
    <row r="25" spans="1:16" ht="20.25" customHeight="1">
      <c r="A25" s="199"/>
      <c r="B25" s="41"/>
      <c r="C25" s="41"/>
      <c r="D25" s="41"/>
      <c r="E25" s="41"/>
      <c r="F25" s="41"/>
      <c r="G25" s="41"/>
      <c r="H25" s="41"/>
      <c r="I25" s="33"/>
      <c r="J25" s="33"/>
      <c r="K25" s="33"/>
      <c r="L25" s="33"/>
      <c r="M25" s="33"/>
      <c r="N25" s="33"/>
      <c r="O25" s="33"/>
      <c r="P25" s="188"/>
    </row>
    <row r="26" spans="1:16" ht="20.25" customHeight="1">
      <c r="A26" s="187"/>
      <c r="B26" s="33"/>
      <c r="C26" s="33"/>
      <c r="D26" s="33"/>
      <c r="E26" s="33"/>
      <c r="F26" s="33"/>
      <c r="G26" s="33"/>
      <c r="H26" s="33"/>
      <c r="I26" s="33"/>
      <c r="J26" s="33"/>
      <c r="K26" s="33"/>
      <c r="L26" s="33"/>
      <c r="M26" s="33"/>
      <c r="N26" s="33"/>
      <c r="O26" s="33"/>
      <c r="P26" s="188"/>
    </row>
    <row r="27" spans="1:16" ht="20.25" customHeight="1">
      <c r="A27" s="187"/>
      <c r="B27" s="33"/>
      <c r="C27" s="33"/>
      <c r="D27" s="33"/>
      <c r="E27" s="33"/>
      <c r="F27" s="33"/>
      <c r="G27" s="33"/>
      <c r="H27" s="33"/>
      <c r="I27" s="33"/>
      <c r="J27" s="33"/>
      <c r="K27" s="33"/>
      <c r="L27" s="33"/>
      <c r="M27" s="33"/>
      <c r="N27" s="33"/>
      <c r="O27" s="33"/>
      <c r="P27" s="188"/>
    </row>
    <row r="28" spans="1:16" ht="20.25" customHeight="1">
      <c r="A28" s="646" t="s">
        <v>375</v>
      </c>
      <c r="B28" s="575"/>
      <c r="C28" s="575"/>
      <c r="D28" s="575"/>
      <c r="E28" s="41"/>
      <c r="F28" s="41"/>
      <c r="G28" s="41"/>
      <c r="H28" s="41"/>
      <c r="I28" s="33"/>
      <c r="J28" s="33"/>
      <c r="K28" s="575" t="s">
        <v>376</v>
      </c>
      <c r="L28" s="575"/>
      <c r="M28" s="575"/>
      <c r="N28" s="575"/>
      <c r="O28" s="575"/>
      <c r="P28" s="635"/>
    </row>
    <row r="29" spans="1:16" ht="20.25" customHeight="1">
      <c r="A29" s="187"/>
      <c r="B29" s="33"/>
      <c r="C29" s="33"/>
      <c r="D29" s="33"/>
      <c r="E29" s="33"/>
      <c r="F29" s="33"/>
      <c r="G29" s="33"/>
      <c r="H29" s="33"/>
      <c r="I29" s="33"/>
      <c r="J29" s="33"/>
      <c r="K29" s="575" t="s">
        <v>377</v>
      </c>
      <c r="L29" s="575"/>
      <c r="M29" s="575"/>
      <c r="N29" s="575"/>
      <c r="O29" s="575"/>
      <c r="P29" s="635"/>
    </row>
    <row r="30" spans="1:16" ht="15" customHeight="1">
      <c r="A30" s="646"/>
      <c r="B30" s="575"/>
      <c r="C30" s="575"/>
      <c r="D30" s="575"/>
      <c r="E30" s="41"/>
      <c r="F30" s="41"/>
      <c r="G30" s="41"/>
      <c r="H30" s="41"/>
      <c r="I30" s="33"/>
      <c r="J30" s="33"/>
      <c r="K30" s="33"/>
      <c r="L30" s="33"/>
      <c r="M30" s="33"/>
      <c r="N30" s="33"/>
      <c r="O30" s="33"/>
      <c r="P30" s="188"/>
    </row>
    <row r="31" spans="1:16" ht="15" customHeight="1">
      <c r="A31" s="646"/>
      <c r="B31" s="575"/>
      <c r="C31" s="575"/>
      <c r="D31" s="575"/>
      <c r="E31" s="41"/>
      <c r="F31" s="41"/>
      <c r="G31" s="41"/>
      <c r="H31" s="41"/>
      <c r="I31" s="33"/>
      <c r="J31" s="33"/>
      <c r="K31" s="33"/>
      <c r="L31" s="33"/>
      <c r="M31" s="33"/>
      <c r="N31" s="33"/>
      <c r="O31" s="33"/>
      <c r="P31" s="188"/>
    </row>
    <row r="32" spans="1:16" ht="15" customHeight="1">
      <c r="A32" s="187"/>
      <c r="B32" s="33"/>
      <c r="C32" s="33"/>
      <c r="D32" s="33"/>
      <c r="E32" s="33"/>
      <c r="F32" s="33"/>
      <c r="G32" s="33"/>
      <c r="H32" s="33"/>
      <c r="I32" s="33"/>
      <c r="J32" s="33"/>
      <c r="K32" s="33"/>
      <c r="L32" s="33"/>
      <c r="M32" s="33"/>
      <c r="N32" s="33"/>
      <c r="O32" s="33"/>
      <c r="P32" s="188"/>
    </row>
    <row r="33" spans="1:16" ht="12.75">
      <c r="A33" s="187"/>
      <c r="B33" s="33"/>
      <c r="C33" s="33"/>
      <c r="D33" s="33"/>
      <c r="E33" s="33"/>
      <c r="F33" s="33"/>
      <c r="G33" s="33"/>
      <c r="H33" s="33"/>
      <c r="I33" s="33"/>
      <c r="J33" s="33"/>
      <c r="K33" s="33"/>
      <c r="L33" s="33"/>
      <c r="M33" s="33"/>
      <c r="N33" s="33"/>
      <c r="O33" s="33"/>
      <c r="P33" s="188"/>
    </row>
    <row r="34" spans="1:16" ht="13.5" thickBot="1">
      <c r="A34" s="202"/>
      <c r="B34" s="203"/>
      <c r="C34" s="203"/>
      <c r="D34" s="203"/>
      <c r="E34" s="203"/>
      <c r="F34" s="203"/>
      <c r="G34" s="203"/>
      <c r="H34" s="203"/>
      <c r="I34" s="203"/>
      <c r="J34" s="203"/>
      <c r="K34" s="203"/>
      <c r="L34" s="203"/>
      <c r="M34" s="203"/>
      <c r="N34" s="203"/>
      <c r="O34" s="203"/>
      <c r="P34" s="204"/>
    </row>
    <row r="35" ht="13.5" thickTop="1"/>
  </sheetData>
  <sheetProtection password="E95C" sheet="1" objects="1" scenarios="1" selectLockedCells="1"/>
  <mergeCells count="21">
    <mergeCell ref="D8:I8"/>
    <mergeCell ref="A23:D23"/>
    <mergeCell ref="M8:P8"/>
    <mergeCell ref="A31:D31"/>
    <mergeCell ref="A15:P15"/>
    <mergeCell ref="F14:G14"/>
    <mergeCell ref="B16:H16"/>
    <mergeCell ref="A30:D30"/>
    <mergeCell ref="K28:P28"/>
    <mergeCell ref="D12:J12"/>
    <mergeCell ref="A17:P17"/>
    <mergeCell ref="K20:P20"/>
    <mergeCell ref="A28:D28"/>
    <mergeCell ref="K29:P29"/>
    <mergeCell ref="L16:P16"/>
    <mergeCell ref="N14:P14"/>
    <mergeCell ref="J14:K14"/>
    <mergeCell ref="A1:P1"/>
    <mergeCell ref="A2:P2"/>
    <mergeCell ref="A3:P3"/>
    <mergeCell ref="D6:I6"/>
  </mergeCells>
  <printOptions horizontalCentered="1"/>
  <pageMargins left="0.45" right="0.63" top="0.89" bottom="0.49" header="0.6" footer="0.5"/>
  <pageSetup horizontalDpi="300" verticalDpi="300" orientation="portrait" paperSize="5" r:id="rId2"/>
  <drawing r:id="rId1"/>
</worksheet>
</file>

<file path=xl/worksheets/sheet6.xml><?xml version="1.0" encoding="utf-8"?>
<worksheet xmlns="http://schemas.openxmlformats.org/spreadsheetml/2006/main" xmlns:r="http://schemas.openxmlformats.org/officeDocument/2006/relationships">
  <sheetPr codeName="Sheet6"/>
  <dimension ref="A1:J49"/>
  <sheetViews>
    <sheetView showGridLines="0" zoomScalePageLayoutView="0" workbookViewId="0" topLeftCell="A34">
      <selection activeCell="E50" sqref="E50"/>
    </sheetView>
  </sheetViews>
  <sheetFormatPr defaultColWidth="9.140625" defaultRowHeight="12.75"/>
  <cols>
    <col min="1" max="1" width="2.7109375" style="0" customWidth="1"/>
    <col min="2" max="2" width="6.7109375" style="0" customWidth="1"/>
    <col min="3" max="3" width="12.421875" style="0" customWidth="1"/>
    <col min="4" max="4" width="11.7109375" style="0" customWidth="1"/>
    <col min="5" max="5" width="9.421875" style="0" customWidth="1"/>
    <col min="6" max="6" width="10.421875" style="0" customWidth="1"/>
    <col min="7" max="7" width="8.8515625" style="0" customWidth="1"/>
    <col min="8" max="8" width="13.421875" style="0" customWidth="1"/>
    <col min="9" max="9" width="9.421875" style="0" customWidth="1"/>
    <col min="10" max="10" width="9.7109375" style="0" customWidth="1"/>
  </cols>
  <sheetData>
    <row r="1" spans="2:10" ht="20.25">
      <c r="B1" s="746" t="str">
        <f>CONCATENATE("PROCEEDINGS OF THE ",IF('WORK SHEET'!E124=1,"DEPUTY EDUCATIONAL OFFICER, ",VLOOKUP('WORK SHEET'!E125,'WORK SHEET'!AS53:BB56,9,TRUE))," ",IF('WORK SHEET'!E124=1,CONCATENATE('WORK SHEET'!E24," DIVISION"),VLOOKUP('WORK SHEET'!E125,'WORK SHEET'!AS53:BB56,10,TRUE)))</f>
        <v>PROCEEDINGS OF THE MANDAL EDUCATIONAL OFFICER ADDANKI</v>
      </c>
      <c r="C1" s="746"/>
      <c r="D1" s="746"/>
      <c r="E1" s="746"/>
      <c r="F1" s="746"/>
      <c r="G1" s="746"/>
      <c r="H1" s="746"/>
      <c r="I1" s="746"/>
      <c r="J1" s="746"/>
    </row>
    <row r="2" spans="2:10" ht="15.75">
      <c r="B2" s="747" t="str">
        <f>CONCATENATE("PRESENT :- ",'WORK SHEET'!E16)</f>
        <v>PRESENT :- P. GURUCHANDRA PRASAD B.Sc,B.Ed.,</v>
      </c>
      <c r="C2" s="747"/>
      <c r="D2" s="747"/>
      <c r="E2" s="747"/>
      <c r="F2" s="747"/>
      <c r="G2" s="747"/>
      <c r="H2" s="747"/>
      <c r="I2" s="747"/>
      <c r="J2" s="747"/>
    </row>
    <row r="4" spans="2:9" ht="15">
      <c r="B4" t="s">
        <v>37</v>
      </c>
      <c r="C4" s="498" t="str">
        <f>'WORK SHEET'!E14</f>
        <v>2/AAS/2011</v>
      </c>
      <c r="H4" s="3" t="s">
        <v>38</v>
      </c>
      <c r="I4" s="158">
        <f>'WORK SHEET'!E15</f>
        <v>40801</v>
      </c>
    </row>
    <row r="6" spans="3:9" ht="12.75">
      <c r="C6" t="s">
        <v>39</v>
      </c>
      <c r="D6" s="724" t="str">
        <f>CONCATENATE("Estt-",IF(H43="DEPUTY EDUCATIONAL OFFICER.","APES -","APSESS -")," - ",H44," - ",H45)</f>
        <v>Estt-APSESS - - MANDAL PARASHAD  - ADDANKI</v>
      </c>
      <c r="E6" s="724"/>
      <c r="F6" s="724"/>
      <c r="G6" s="724"/>
      <c r="H6" s="724"/>
      <c r="I6" s="724"/>
    </row>
    <row r="7" spans="4:9" ht="12.75">
      <c r="D7" s="724" t="str">
        <f>CONCATENATE("Sri/Smt ",'WORK SHEET'!E2," ",IF('WORK SHEET'!E42="YES",'WORK SHEET'!G145,'WORK SHEET'!E25)," - "," Fixation of pay in automaatic advancement increments ")</f>
        <v>Sri/Smt P.BRAMHANANDA REDDY  -  Fixation of pay in automaatic advancement increments </v>
      </c>
      <c r="E7" s="724"/>
      <c r="F7" s="724"/>
      <c r="G7" s="724"/>
      <c r="H7" s="724"/>
      <c r="I7" s="724"/>
    </row>
    <row r="8" ht="12" customHeight="1">
      <c r="D8" t="str">
        <f>CONCATENATE('WORK SHEET'!N74," increment -orders issued-regarding")</f>
        <v>S.P.P.-1A increment -orders issued-regarding</v>
      </c>
    </row>
    <row r="9" spans="2:4" ht="19.5" customHeight="1">
      <c r="B9" s="317"/>
      <c r="C9" t="s">
        <v>40</v>
      </c>
      <c r="D9" t="s">
        <v>537</v>
      </c>
    </row>
    <row r="10" spans="2:8" ht="12.75">
      <c r="B10" s="317"/>
      <c r="D10" t="s">
        <v>616</v>
      </c>
      <c r="E10" s="8"/>
      <c r="H10" s="2"/>
    </row>
    <row r="11" spans="2:8" ht="12.75">
      <c r="B11" s="317"/>
      <c r="D11" t="s">
        <v>699</v>
      </c>
      <c r="E11" s="8"/>
      <c r="H11" s="2"/>
    </row>
    <row r="12" ht="12.75">
      <c r="D12" s="18" t="s">
        <v>710</v>
      </c>
    </row>
    <row r="13" ht="4.5" customHeight="1"/>
    <row r="14" ht="9.75" customHeight="1">
      <c r="F14" s="20" t="s">
        <v>41</v>
      </c>
    </row>
    <row r="15" ht="12.75">
      <c r="B15" s="418" t="s">
        <v>42</v>
      </c>
    </row>
    <row r="16" spans="2:10" ht="44.25" customHeight="1">
      <c r="B16" s="751" t="str">
        <f>CONCATENATE("               In pursuance of the orders issued in reference 1 to 4 cited above the pay of sri/smt ",'WORK SHEET'!E2," of ",'WORK SHEET'!E3," ",'WORK SHEET'!E4,"  has been sanctined and fixed  ",'WORK SHEET'!N74," scale in ",'WORK SHEET'!E25," cadre with effect from  ",'WORK SHEET'!H96,". Perticulers as shown below.")</f>
        <v>               In pursuance of the orders issued in reference 1 to 4 cited above the pay of sri/smt P.BRAMHANANDA REDDY of MPPS, CHAKRAYAPALEM  has been sanctined and fixed  S.P.P.-1A scale in S.G.T. cadre with effect from  1-2-2010. Perticulers as shown below.</v>
      </c>
      <c r="C16" s="751"/>
      <c r="D16" s="751"/>
      <c r="E16" s="751"/>
      <c r="F16" s="751"/>
      <c r="G16" s="751"/>
      <c r="H16" s="751"/>
      <c r="I16" s="751"/>
      <c r="J16" s="751"/>
    </row>
    <row r="17" spans="2:9" ht="15.75" customHeight="1">
      <c r="B17" s="752"/>
      <c r="C17" s="752"/>
      <c r="D17" s="752"/>
      <c r="E17" s="752"/>
      <c r="F17" s="752"/>
      <c r="G17" s="752"/>
      <c r="H17" s="752"/>
      <c r="I17" s="752"/>
    </row>
    <row r="18" spans="2:10" ht="15" customHeight="1">
      <c r="B18" s="425">
        <v>1</v>
      </c>
      <c r="C18" s="699" t="s">
        <v>530</v>
      </c>
      <c r="D18" s="700"/>
      <c r="E18" s="700"/>
      <c r="F18" s="419"/>
      <c r="G18" s="710" t="str">
        <f>'WORK SHEET'!E2</f>
        <v>P.BRAMHANANDA REDDY</v>
      </c>
      <c r="H18" s="711"/>
      <c r="I18" s="711"/>
      <c r="J18" s="712"/>
    </row>
    <row r="19" spans="2:10" ht="15" customHeight="1">
      <c r="B19" s="425">
        <v>2</v>
      </c>
      <c r="C19" s="699" t="s">
        <v>142</v>
      </c>
      <c r="D19" s="700"/>
      <c r="E19" s="700"/>
      <c r="F19" s="419"/>
      <c r="G19" s="710" t="str">
        <f>IF('WORK SHEET'!E42='WORK SHEET'!O107,'WORK SHEET'!E45,'WORK SHEET'!E25)</f>
        <v>H.M.</v>
      </c>
      <c r="H19" s="711"/>
      <c r="I19" s="711"/>
      <c r="J19" s="712"/>
    </row>
    <row r="20" spans="2:10" ht="15" customHeight="1">
      <c r="B20" s="425">
        <v>3</v>
      </c>
      <c r="C20" s="483" t="str">
        <f>CONCATENATE("Post held on ",'WORK SHEET'!H96)</f>
        <v>Post held on 1-2-2010</v>
      </c>
      <c r="D20" s="484"/>
      <c r="E20" s="484"/>
      <c r="F20" s="419"/>
      <c r="G20" s="713" t="str">
        <f>'WORK SHEET'!E25</f>
        <v>S.G.T.</v>
      </c>
      <c r="H20" s="714"/>
      <c r="I20" s="714"/>
      <c r="J20" s="715"/>
    </row>
    <row r="21" spans="2:10" ht="16.5" customHeight="1">
      <c r="B21" s="425">
        <v>4</v>
      </c>
      <c r="C21" s="485" t="str">
        <f>CONCATENATE("Date of regularigation in"," ",'WORK SHEET'!E25," ","cadre")</f>
        <v>Date of regularigation in S.G.T. cadre</v>
      </c>
      <c r="D21" s="486"/>
      <c r="E21" s="486"/>
      <c r="F21" s="419"/>
      <c r="G21" s="713">
        <f>'WORK SHEET'!E94</f>
        <v>37546</v>
      </c>
      <c r="H21" s="714"/>
      <c r="I21" s="714"/>
      <c r="J21" s="715"/>
    </row>
    <row r="22" spans="2:10" ht="15" customHeight="1">
      <c r="B22" s="425">
        <v>5</v>
      </c>
      <c r="C22" s="558" t="s">
        <v>711</v>
      </c>
      <c r="D22" s="492"/>
      <c r="E22" s="492"/>
      <c r="F22" s="499"/>
      <c r="G22" s="543" t="str">
        <f>IF('WORK SHEET'!E65=0,"NIL",CONCATENATE('WORK SHEET'!E65," days"))</f>
        <v>NIL</v>
      </c>
      <c r="H22" s="555" t="str">
        <f>IF('WORK SHEET'!E65=0," ","FROM")</f>
        <v> </v>
      </c>
      <c r="I22" s="555" t="str">
        <f>IF('WORK SHEET'!E65=0," ","To")</f>
        <v> </v>
      </c>
      <c r="J22" s="557" t="str">
        <f>IF(I22=" "," ","No. days")</f>
        <v> </v>
      </c>
    </row>
    <row r="23" spans="2:10" ht="15" customHeight="1">
      <c r="B23" s="707"/>
      <c r="C23" s="558" t="str">
        <f>IF(G22="NIL"," ","Perticulars of E.O.L. aviled")</f>
        <v> </v>
      </c>
      <c r="D23" s="492"/>
      <c r="E23" s="492"/>
      <c r="F23" s="499"/>
      <c r="G23" s="555"/>
      <c r="H23" s="556" t="str">
        <f>IF('WORK SHEET'!E47='WORK SHEET'!O108," ",IF('WORK SHEET'!F48=0," ",'WORK SHEET'!F48))</f>
        <v> </v>
      </c>
      <c r="I23" s="556" t="str">
        <f>IF('WORK SHEET'!E47='WORK SHEET'!O108," ",IF('WORK SHEET'!F48=0," ",'WORK SHEET'!G48))</f>
        <v> </v>
      </c>
      <c r="J23" s="555" t="str">
        <f>IF(H23=" "," ",CONCATENATE('WORK SHEET'!P54," days"))</f>
        <v> </v>
      </c>
    </row>
    <row r="24" spans="2:10" ht="15" customHeight="1">
      <c r="B24" s="708"/>
      <c r="C24" s="488"/>
      <c r="D24" s="501"/>
      <c r="E24" s="501"/>
      <c r="F24" s="502"/>
      <c r="G24" s="555"/>
      <c r="H24" s="556" t="str">
        <f>IF('WORK SHEET'!E47='WORK SHEET'!O108," ",IF('WORK SHEET'!F49=0," ",'WORK SHEET'!F49))</f>
        <v> </v>
      </c>
      <c r="I24" s="556" t="str">
        <f>IF('WORK SHEET'!E47='WORK SHEET'!O108," ",IF('WORK SHEET'!F49=0," ",'WORK SHEET'!G49))</f>
        <v> </v>
      </c>
      <c r="J24" s="555" t="str">
        <f>IF(H24=" "," ",CONCATENATE('WORK SHEET'!P55," days"))</f>
        <v> </v>
      </c>
    </row>
    <row r="25" spans="2:10" ht="15" customHeight="1">
      <c r="B25" s="708"/>
      <c r="C25" s="488"/>
      <c r="D25" s="501"/>
      <c r="E25" s="501"/>
      <c r="F25" s="502"/>
      <c r="G25" s="555"/>
      <c r="H25" s="556" t="str">
        <f>IF('WORK SHEET'!E47='WORK SHEET'!O108," ",IF('WORK SHEET'!F50=0," ",'WORK SHEET'!F50))</f>
        <v> </v>
      </c>
      <c r="I25" s="556" t="str">
        <f>IF('WORK SHEET'!E47='WORK SHEET'!O108," ",IF('WORK SHEET'!F50=0," ",'WORK SHEET'!G50))</f>
        <v> </v>
      </c>
      <c r="J25" s="555" t="str">
        <f>IF(H25=" "," ",CONCATENATE('WORK SHEET'!P56," days"))</f>
        <v> </v>
      </c>
    </row>
    <row r="26" spans="2:10" ht="15" customHeight="1">
      <c r="B26" s="709"/>
      <c r="C26" s="500"/>
      <c r="D26" s="491"/>
      <c r="E26" s="491"/>
      <c r="F26" s="493"/>
      <c r="G26" s="555"/>
      <c r="H26" s="556" t="str">
        <f>IF('WORK SHEET'!E47='WORK SHEET'!O108," ",IF('WORK SHEET'!F51=0," ",'WORK SHEET'!F51))</f>
        <v> </v>
      </c>
      <c r="I26" s="556" t="str">
        <f>IF('WORK SHEET'!E47='WORK SHEET'!O108," ",IF('WORK SHEET'!F51=0," ",'WORK SHEET'!G51))</f>
        <v> </v>
      </c>
      <c r="J26" s="555" t="str">
        <f>IF(H26=" "," ",CONCATENATE('WORK SHEET'!P57," days"))</f>
        <v> </v>
      </c>
    </row>
    <row r="27" spans="2:10" ht="16.5">
      <c r="B27" s="426">
        <v>6</v>
      </c>
      <c r="C27" s="545" t="str">
        <f>CONCATENATE("Date of completion of ",'WORK SHEET'!F54," years in"," ",'WORK SHEET'!E25," ","cadre")</f>
        <v>Date of completion of 12 years in S.G.T. cadre</v>
      </c>
      <c r="D27" s="486"/>
      <c r="E27" s="486"/>
      <c r="F27" s="420"/>
      <c r="G27" s="713">
        <f>'WORK SHEET'!E95-1</f>
        <v>40209</v>
      </c>
      <c r="H27" s="714"/>
      <c r="I27" s="714"/>
      <c r="J27" s="715"/>
    </row>
    <row r="28" spans="2:10" ht="17.25" customHeight="1">
      <c r="B28" s="497">
        <v>7</v>
      </c>
      <c r="C28" s="552" t="s">
        <v>700</v>
      </c>
      <c r="D28" s="489"/>
      <c r="E28" s="489"/>
      <c r="F28" s="490"/>
      <c r="G28" s="710" t="str">
        <f>'WORK SHEET'!E32</f>
        <v>E.O; G.O;</v>
      </c>
      <c r="H28" s="711"/>
      <c r="I28" s="711"/>
      <c r="J28" s="712"/>
    </row>
    <row r="29" spans="2:10" ht="17.25" customHeight="1">
      <c r="B29" s="426">
        <v>8</v>
      </c>
      <c r="C29" s="699" t="s">
        <v>701</v>
      </c>
      <c r="D29" s="700"/>
      <c r="E29" s="700"/>
      <c r="F29" s="701"/>
      <c r="G29" s="549" t="str">
        <f>'WORK SHEET'!E28</f>
        <v>B.Sc.;B.Ed.;</v>
      </c>
      <c r="H29" s="550"/>
      <c r="I29" s="550"/>
      <c r="J29" s="551"/>
    </row>
    <row r="30" spans="2:10" ht="15" customHeight="1">
      <c r="B30" s="497">
        <v>9</v>
      </c>
      <c r="C30" s="483" t="str">
        <f>CONCATENATE("Date of effect in ",'WORK SHEET'!N74,"  time scale")</f>
        <v>Date of effect in S.P.P.-1A  time scale</v>
      </c>
      <c r="D30" s="484"/>
      <c r="E30" s="484"/>
      <c r="F30" s="487"/>
      <c r="G30" s="713">
        <f>'WORK SHEET'!G95</f>
        <v>40210</v>
      </c>
      <c r="H30" s="714"/>
      <c r="I30" s="714"/>
      <c r="J30" s="715"/>
    </row>
    <row r="31" spans="2:10" ht="18.75" customHeight="1">
      <c r="B31" s="426">
        <v>10</v>
      </c>
      <c r="C31" s="494" t="s">
        <v>650</v>
      </c>
      <c r="D31" s="495"/>
      <c r="E31" s="495"/>
      <c r="F31" s="496">
        <f>G30</f>
        <v>40210</v>
      </c>
      <c r="G31" s="748" t="str">
        <f>CONCATENATE("Rs. ",'WORK SHEET'!E97," / -                     ",'WORK SHEET'!G97)</f>
        <v>Rs. 12190 / -                     11530-33200</v>
      </c>
      <c r="H31" s="749"/>
      <c r="I31" s="749"/>
      <c r="J31" s="750"/>
    </row>
    <row r="32" spans="2:10" ht="77.25" customHeight="1">
      <c r="B32" s="497">
        <v>11</v>
      </c>
      <c r="C32" s="716" t="str">
        <f>CONCATENATE("Pay and Scale after  fixition in ",'WORK SHEET'!N74,'WORK SHEET'!N75)</f>
        <v>Pay and Scale after  fixition in S.P.P.-1A as per FR 22(a)(i)</v>
      </c>
      <c r="D32" s="717"/>
      <c r="E32" s="717"/>
      <c r="F32" s="718"/>
      <c r="G32" s="748" t="str">
        <f>CONCATENATE("Rs. ",'WORK SHEET'!E98," /-                                                 ",'WORK SHEET'!F98)</f>
        <v>Rs. 12190 /-                                                 14860-420-15700-450-17050-490-18520-530-20110-570-21820-610-23650-650-25600-700-27700-750-29950-800-32350-850-34900-900-37600-970-39540</v>
      </c>
      <c r="H32" s="749"/>
      <c r="I32" s="749"/>
      <c r="J32" s="750"/>
    </row>
    <row r="33" spans="2:10" ht="29.25" customHeight="1">
      <c r="B33" s="727" t="s">
        <v>709</v>
      </c>
      <c r="C33" s="726"/>
      <c r="D33" s="515" t="s">
        <v>662</v>
      </c>
      <c r="E33" s="514" t="s">
        <v>663</v>
      </c>
      <c r="F33" s="725" t="s">
        <v>664</v>
      </c>
      <c r="G33" s="726"/>
      <c r="H33" s="719" t="s">
        <v>536</v>
      </c>
      <c r="I33" s="720"/>
      <c r="J33" s="721"/>
    </row>
    <row r="34" spans="2:10" ht="19.5" customHeight="1">
      <c r="B34" s="744">
        <f>IF('WORK SHEET'!F110=0," ",'WORK SHEET'!F110)</f>
        <v>40452</v>
      </c>
      <c r="C34" s="745"/>
      <c r="D34" s="541">
        <f>IF(B34=" "," ",'WORK SHEET'!I110)</f>
        <v>12190</v>
      </c>
      <c r="E34" s="542">
        <f>IF(B34=" "," ",'WORK SHEET'!H110)</f>
        <v>12550</v>
      </c>
      <c r="F34" s="728" t="str">
        <f>IF(B34=" "," ",'WORK SHEET'!L110)</f>
        <v>14860-39540</v>
      </c>
      <c r="G34" s="729"/>
      <c r="H34" s="738" t="str">
        <f>IF('WORK SHEET'!E42='WORK SHEET'!O108," ",CONCATENATE("PROMOTED AS ",'WORK SHEET'!E45," WITH "))</f>
        <v>PROMOTED AS H.M. WITH </v>
      </c>
      <c r="I34" s="739"/>
      <c r="J34" s="740"/>
    </row>
    <row r="35" spans="2:10" ht="15" customHeight="1">
      <c r="B35" s="744">
        <f>IF('WORK SHEET'!F111=0," ",'WORK SHEET'!F111)</f>
        <v>40628.01</v>
      </c>
      <c r="C35" s="745"/>
      <c r="D35" s="541">
        <f>IF(B35=" "," ",'WORK SHEET'!I111)</f>
        <v>12550</v>
      </c>
      <c r="E35" s="542">
        <f>IF(B35=" "," ",'WORK SHEET'!H111)</f>
        <v>12910</v>
      </c>
      <c r="F35" s="728" t="str">
        <f>IF(B35=" "," ",'WORK SHEET'!L111)</f>
        <v>14860-39540</v>
      </c>
      <c r="G35" s="729"/>
      <c r="H35" s="738" t="str">
        <f>IF(H34=" "," ",'WORK SHEET'!R109)</f>
        <v>FR.22B ON</v>
      </c>
      <c r="I35" s="739"/>
      <c r="J35" s="740"/>
    </row>
    <row r="36" spans="2:10" ht="15" customHeight="1">
      <c r="B36" s="744">
        <f>IF('WORK SHEET'!F112=0," ",'WORK SHEET'!F112)</f>
        <v>40817</v>
      </c>
      <c r="C36" s="745"/>
      <c r="D36" s="541">
        <f>IF(B36=" "," ",'WORK SHEET'!I112)</f>
        <v>12910</v>
      </c>
      <c r="E36" s="542">
        <f>IF(B36=" "," ",'WORK SHEET'!H112)</f>
        <v>13660</v>
      </c>
      <c r="F36" s="728" t="str">
        <f>IF(B36=" "," ",'WORK SHEET'!L112)</f>
        <v>18030-43630</v>
      </c>
      <c r="G36" s="729"/>
      <c r="H36" s="741">
        <f>IF(H35=" "," ",'WORK SHEET'!E139)</f>
        <v>40628.01</v>
      </c>
      <c r="I36" s="742"/>
      <c r="J36" s="743"/>
    </row>
    <row r="37" spans="2:10" ht="14.25" customHeight="1">
      <c r="B37" s="544"/>
      <c r="C37" s="732" t="s">
        <v>651</v>
      </c>
      <c r="D37" s="733"/>
      <c r="E37" s="733"/>
      <c r="F37" s="734"/>
      <c r="G37" s="735">
        <f>'WORK SHEET'!F99</f>
        <v>41183</v>
      </c>
      <c r="H37" s="736"/>
      <c r="I37" s="736"/>
      <c r="J37" s="737"/>
    </row>
    <row r="38" spans="2:10" ht="14.25" customHeight="1">
      <c r="B38" s="702" t="str">
        <f>CONCATENATE("Monitory benefit effected from",'WORK SHEET'!H96)</f>
        <v>Monitory benefit effected from1-2-2010</v>
      </c>
      <c r="C38" s="703"/>
      <c r="D38" s="703"/>
      <c r="E38" s="703"/>
      <c r="F38" s="703"/>
      <c r="G38" s="703"/>
      <c r="H38" s="703"/>
      <c r="I38" s="703"/>
      <c r="J38" s="704"/>
    </row>
    <row r="39" spans="2:10" ht="14.25" customHeight="1">
      <c r="B39" s="731" t="str">
        <f>IF(D39=" "," ","Note:-")</f>
        <v>Note:-</v>
      </c>
      <c r="C39" s="731"/>
      <c r="D39" s="730" t="str">
        <f>'WORK SHEET'!I68</f>
        <v>8 years AAS taken in 8/16/24 on</v>
      </c>
      <c r="E39" s="730"/>
      <c r="F39" s="730"/>
      <c r="G39" s="730"/>
      <c r="H39" s="730"/>
      <c r="I39" s="723">
        <f>IF(D39=" "," ",'WORK SHEET'!G67)</f>
        <v>40468</v>
      </c>
      <c r="J39" s="723"/>
    </row>
    <row r="40" spans="2:10" ht="29.25" customHeight="1">
      <c r="B40" s="722" t="s">
        <v>653</v>
      </c>
      <c r="C40" s="722"/>
      <c r="D40" s="722"/>
      <c r="E40" s="722"/>
      <c r="F40" s="722"/>
      <c r="G40" s="722"/>
      <c r="H40" s="722"/>
      <c r="I40" s="722"/>
      <c r="J40" s="722"/>
    </row>
    <row r="41" spans="2:10" ht="27" customHeight="1">
      <c r="B41" s="705" t="s">
        <v>654</v>
      </c>
      <c r="C41" s="706"/>
      <c r="D41" s="706"/>
      <c r="E41" s="706"/>
      <c r="F41" s="706"/>
      <c r="G41" s="706"/>
      <c r="H41" s="706"/>
      <c r="I41" s="706"/>
      <c r="J41" s="706"/>
    </row>
    <row r="42" ht="39.75" customHeight="1"/>
    <row r="43" spans="2:8" ht="15" customHeight="1">
      <c r="B43" t="s">
        <v>44</v>
      </c>
      <c r="H43" s="319" t="str">
        <f>IF('WORK SHEET'!E124=1,"DEPUTY EDUCATIONAL OFFICER.",VLOOKUP('WORK SHEET'!E125,'WORK SHEET'!AS53:BA56,9,TRUE))</f>
        <v>MANDAL EDUCATIONAL OFFICER</v>
      </c>
    </row>
    <row r="44" spans="1:8" ht="19.5" customHeight="1">
      <c r="A44" s="421"/>
      <c r="B44" s="7" t="s">
        <v>45</v>
      </c>
      <c r="C44" s="114" t="str">
        <f>CONCATENATE('WORK SHEET'!E2,", ",IF('WORK SHEET'!E128=1,'WORK SHEET'!E45,'WORK SHEET'!E25),", ",'WORK SHEET'!E3,", ",'WORK SHEET'!E4)</f>
        <v>P.BRAMHANANDA REDDY, H.M., MPPS,, CHAKRAYAPALEM</v>
      </c>
      <c r="H44" s="319" t="str">
        <f>IF('WORK SHEET'!E124=1,CONCATENATE(H45," DIVISION"),IF(OR('WORK SHEET'!E125=2,'WORK SHEET'!E125=4),'WORK SHEET'!E3,"MANDAL PARASHAD "))</f>
        <v>MANDAL PARASHAD </v>
      </c>
    </row>
    <row r="45" spans="2:8" ht="11.25" customHeight="1">
      <c r="B45" t="s">
        <v>46</v>
      </c>
      <c r="H45" s="320" t="str">
        <f>IF('WORK SHEET'!E124=1,'WORK SHEET'!E24,IF(OR('WORK SHEET'!E125=1,'WORK SHEET'!E125=3),'WORK SHEET'!E5,'WORK SHEET'!E4))</f>
        <v>ADDANKI</v>
      </c>
    </row>
    <row r="46" spans="2:8" ht="12.75">
      <c r="B46" t="str">
        <f>CONCATENATE("Copy to the ",'WORK SHEET'!E18)</f>
        <v>Copy to the STO, ADDANKI</v>
      </c>
      <c r="H46" s="321"/>
    </row>
    <row r="49" ht="12.75">
      <c r="D49" s="21"/>
    </row>
    <row r="51" ht="18.75" customHeight="1"/>
  </sheetData>
  <sheetProtection password="E95C" sheet="1" selectLockedCells="1"/>
  <mergeCells count="40">
    <mergeCell ref="B36:C36"/>
    <mergeCell ref="B1:J1"/>
    <mergeCell ref="B2:J2"/>
    <mergeCell ref="G28:J28"/>
    <mergeCell ref="G31:J31"/>
    <mergeCell ref="G32:J32"/>
    <mergeCell ref="B16:J16"/>
    <mergeCell ref="C18:E18"/>
    <mergeCell ref="C19:E19"/>
    <mergeCell ref="D6:I6"/>
    <mergeCell ref="F36:G36"/>
    <mergeCell ref="D39:H39"/>
    <mergeCell ref="B39:C39"/>
    <mergeCell ref="F34:G34"/>
    <mergeCell ref="C37:F37"/>
    <mergeCell ref="G37:J37"/>
    <mergeCell ref="H34:J34"/>
    <mergeCell ref="H35:J35"/>
    <mergeCell ref="H36:J36"/>
    <mergeCell ref="B34:C34"/>
    <mergeCell ref="D7:I7"/>
    <mergeCell ref="F33:G33"/>
    <mergeCell ref="B33:C33"/>
    <mergeCell ref="F35:G35"/>
    <mergeCell ref="B35:C35"/>
    <mergeCell ref="B17:I17"/>
    <mergeCell ref="G18:J18"/>
    <mergeCell ref="G19:J19"/>
    <mergeCell ref="G20:J20"/>
    <mergeCell ref="G21:J21"/>
    <mergeCell ref="C29:F29"/>
    <mergeCell ref="B38:J38"/>
    <mergeCell ref="B41:J41"/>
    <mergeCell ref="B23:B26"/>
    <mergeCell ref="G27:J27"/>
    <mergeCell ref="G30:J30"/>
    <mergeCell ref="C32:F32"/>
    <mergeCell ref="H33:J33"/>
    <mergeCell ref="B40:J40"/>
    <mergeCell ref="I39:J39"/>
  </mergeCells>
  <printOptions/>
  <pageMargins left="0.21" right="0.68" top="0.64" bottom="1" header="0.5" footer="0.5"/>
  <pageSetup horizontalDpi="300" verticalDpi="300" orientation="portrait" paperSize="5" r:id="rId1"/>
</worksheet>
</file>

<file path=xl/worksheets/sheet7.xml><?xml version="1.0" encoding="utf-8"?>
<worksheet xmlns="http://schemas.openxmlformats.org/spreadsheetml/2006/main" xmlns:r="http://schemas.openxmlformats.org/officeDocument/2006/relationships">
  <sheetPr codeName="Sheet7"/>
  <dimension ref="A1:AA74"/>
  <sheetViews>
    <sheetView showGridLines="0" zoomScalePageLayoutView="0" workbookViewId="0" topLeftCell="A24">
      <selection activeCell="AA30" sqref="AA30"/>
    </sheetView>
  </sheetViews>
  <sheetFormatPr defaultColWidth="9.140625" defaultRowHeight="12.75"/>
  <cols>
    <col min="1" max="1" width="3.7109375" style="0" bestFit="1" customWidth="1"/>
    <col min="2" max="11" width="4.140625" style="0" customWidth="1"/>
    <col min="12" max="12" width="3.57421875" style="0" customWidth="1"/>
    <col min="13" max="13" width="3.140625" style="0" customWidth="1"/>
    <col min="14" max="14" width="3.28125" style="0" customWidth="1"/>
    <col min="15" max="16" width="3.421875" style="0" customWidth="1"/>
    <col min="17" max="17" width="4.421875" style="0" customWidth="1"/>
    <col min="18" max="19" width="3.8515625" style="0" customWidth="1"/>
    <col min="20" max="20" width="0.2890625" style="0" customWidth="1"/>
    <col min="21" max="21" width="2.8515625" style="0" customWidth="1"/>
    <col min="22" max="22" width="2.57421875" style="0" customWidth="1"/>
    <col min="23" max="23" width="5.00390625" style="0" hidden="1" customWidth="1"/>
    <col min="24" max="24" width="9.8515625" style="0" customWidth="1"/>
    <col min="25" max="25" width="12.57421875" style="0" customWidth="1"/>
    <col min="26" max="26" width="3.421875" style="0" customWidth="1"/>
  </cols>
  <sheetData>
    <row r="1" spans="1:24" s="18" customFormat="1" ht="18">
      <c r="A1" s="25"/>
      <c r="B1" s="800" t="str">
        <f>CONCATENATE("AAS ARREAR BILLOF","  ",'WORK SHEET'!E3,", ",'WORK SHEET'!E4,", ",'WORK SHEET'!E5)</f>
        <v>AAS ARREAR BILLOF  MPPS,, CHAKRAYAPALEM, ADDANKI</v>
      </c>
      <c r="C1" s="800"/>
      <c r="D1" s="800"/>
      <c r="E1" s="800"/>
      <c r="F1" s="800"/>
      <c r="G1" s="800"/>
      <c r="H1" s="800"/>
      <c r="I1" s="800"/>
      <c r="J1" s="800"/>
      <c r="K1" s="800"/>
      <c r="L1" s="800"/>
      <c r="M1" s="800"/>
      <c r="N1" s="800"/>
      <c r="O1" s="800"/>
      <c r="P1" s="800"/>
      <c r="Q1" s="800"/>
      <c r="R1" s="800"/>
      <c r="S1" s="800"/>
      <c r="T1" s="800"/>
      <c r="U1" s="800"/>
      <c r="V1" s="800"/>
      <c r="W1" s="26"/>
      <c r="X1" s="312">
        <f>'WORK SHEET'!E66</f>
        <v>40628.01</v>
      </c>
    </row>
    <row r="2" spans="1:24" ht="16.5" customHeight="1" thickBot="1">
      <c r="A2" s="9"/>
      <c r="B2" s="804" t="str">
        <f>CONCATENATE("Payable At Sub-Treasury Office - ",'WORK SHEET'!E18)</f>
        <v>Payable At Sub-Treasury Office - STO, ADDANKI</v>
      </c>
      <c r="C2" s="804"/>
      <c r="D2" s="804"/>
      <c r="E2" s="804"/>
      <c r="F2" s="804"/>
      <c r="G2" s="804"/>
      <c r="H2" s="804"/>
      <c r="I2" s="804"/>
      <c r="J2" s="804"/>
      <c r="K2" s="804"/>
      <c r="L2" s="804"/>
      <c r="M2" s="804"/>
      <c r="N2" s="804"/>
      <c r="O2" s="804"/>
      <c r="P2" s="804"/>
      <c r="Q2" s="804"/>
      <c r="R2" s="804"/>
      <c r="S2" s="804"/>
      <c r="T2" s="804"/>
      <c r="U2" s="804"/>
      <c r="V2" s="804"/>
      <c r="W2" s="804"/>
      <c r="X2" s="804"/>
    </row>
    <row r="3" spans="1:24" ht="24.75" customHeight="1">
      <c r="A3" s="27"/>
      <c r="B3" s="801" t="s">
        <v>52</v>
      </c>
      <c r="C3" s="802"/>
      <c r="D3" s="802"/>
      <c r="E3" s="802"/>
      <c r="F3" s="802"/>
      <c r="G3" s="802"/>
      <c r="H3" s="802"/>
      <c r="I3" s="802"/>
      <c r="J3" s="802"/>
      <c r="K3" s="802"/>
      <c r="L3" s="802"/>
      <c r="M3" s="802"/>
      <c r="N3" s="802"/>
      <c r="O3" s="802"/>
      <c r="P3" s="802"/>
      <c r="Q3" s="802"/>
      <c r="R3" s="802"/>
      <c r="S3" s="802"/>
      <c r="T3" s="802"/>
      <c r="U3" s="802"/>
      <c r="V3" s="802"/>
      <c r="W3" s="802"/>
      <c r="X3" s="803"/>
    </row>
    <row r="4" spans="1:24" ht="10.5" customHeight="1">
      <c r="A4" s="27"/>
      <c r="B4" s="28"/>
      <c r="C4" s="29"/>
      <c r="D4" s="29"/>
      <c r="E4" s="29"/>
      <c r="F4" s="29"/>
      <c r="G4" s="29"/>
      <c r="H4" s="29"/>
      <c r="I4" s="29"/>
      <c r="J4" s="29"/>
      <c r="K4" s="29"/>
      <c r="L4" s="29"/>
      <c r="M4" s="29"/>
      <c r="N4" s="29"/>
      <c r="O4" s="29"/>
      <c r="P4" s="29"/>
      <c r="Q4" s="29"/>
      <c r="R4" s="805" t="s">
        <v>53</v>
      </c>
      <c r="S4" s="806"/>
      <c r="T4" s="806"/>
      <c r="U4" s="806"/>
      <c r="V4" s="806"/>
      <c r="W4" s="806"/>
      <c r="X4" s="807"/>
    </row>
    <row r="5" spans="1:24" ht="20.25" customHeight="1">
      <c r="A5" s="27"/>
      <c r="B5" s="808" t="s">
        <v>54</v>
      </c>
      <c r="C5" s="809"/>
      <c r="D5" s="809"/>
      <c r="E5" s="809"/>
      <c r="F5" s="30">
        <f>IF(MONTH(X1)&lt;=9,0,1)</f>
        <v>0</v>
      </c>
      <c r="G5" s="30">
        <f>IF(MONTH(X1)&gt;9,MONTH(X1)-10,MONTH(X1))</f>
        <v>3</v>
      </c>
      <c r="H5" s="31"/>
      <c r="I5" s="30">
        <v>2</v>
      </c>
      <c r="J5" s="30">
        <v>0</v>
      </c>
      <c r="K5" s="30">
        <v>1</v>
      </c>
      <c r="L5" s="30">
        <v>1</v>
      </c>
      <c r="M5" s="31"/>
      <c r="N5" s="31"/>
      <c r="O5" s="32"/>
      <c r="P5" s="32"/>
      <c r="Q5" s="33"/>
      <c r="R5" s="34" t="s">
        <v>55</v>
      </c>
      <c r="S5" s="33"/>
      <c r="T5" s="33"/>
      <c r="U5" s="33"/>
      <c r="V5" s="33"/>
      <c r="W5" s="33"/>
      <c r="X5" s="35"/>
    </row>
    <row r="6" spans="1:24" ht="3" customHeight="1">
      <c r="A6" s="27"/>
      <c r="B6" s="36"/>
      <c r="C6" s="37"/>
      <c r="D6" s="37"/>
      <c r="E6" s="37"/>
      <c r="F6" s="38"/>
      <c r="G6" s="38"/>
      <c r="H6" s="32"/>
      <c r="I6" s="32"/>
      <c r="J6" s="32"/>
      <c r="K6" s="32"/>
      <c r="L6" s="32"/>
      <c r="M6" s="32"/>
      <c r="N6" s="32"/>
      <c r="O6" s="32"/>
      <c r="P6" s="32"/>
      <c r="Q6" s="33"/>
      <c r="R6" s="34"/>
      <c r="S6" s="33"/>
      <c r="T6" s="33"/>
      <c r="U6" s="33"/>
      <c r="V6" s="33"/>
      <c r="W6" s="33"/>
      <c r="X6" s="35"/>
    </row>
    <row r="7" spans="1:24" ht="20.25" customHeight="1">
      <c r="A7" s="27"/>
      <c r="B7" s="797" t="s">
        <v>56</v>
      </c>
      <c r="C7" s="798"/>
      <c r="D7" s="798"/>
      <c r="E7" s="798"/>
      <c r="F7" s="39">
        <f>F10</f>
        <v>0</v>
      </c>
      <c r="G7" s="39">
        <f>G10</f>
        <v>7</v>
      </c>
      <c r="H7" s="39">
        <f>H10</f>
        <v>0</v>
      </c>
      <c r="I7" s="39">
        <f>I10</f>
        <v>2</v>
      </c>
      <c r="J7" s="32"/>
      <c r="K7" s="32"/>
      <c r="L7" s="32"/>
      <c r="M7" s="32"/>
      <c r="N7" s="32"/>
      <c r="O7" s="32"/>
      <c r="P7" s="32"/>
      <c r="Q7" s="40"/>
      <c r="R7" s="582" t="s">
        <v>57</v>
      </c>
      <c r="S7" s="575"/>
      <c r="T7" s="33"/>
      <c r="U7" s="562"/>
      <c r="V7" s="563"/>
      <c r="W7" s="563"/>
      <c r="X7" s="799"/>
    </row>
    <row r="8" spans="1:24" ht="4.5" customHeight="1">
      <c r="A8" s="27"/>
      <c r="B8" s="36"/>
      <c r="C8" s="37"/>
      <c r="D8" s="37"/>
      <c r="E8" s="37"/>
      <c r="F8" s="32"/>
      <c r="G8" s="32"/>
      <c r="H8" s="32"/>
      <c r="I8" s="32"/>
      <c r="J8" s="32"/>
      <c r="K8" s="32"/>
      <c r="L8" s="32"/>
      <c r="M8" s="32"/>
      <c r="N8" s="32"/>
      <c r="O8" s="32"/>
      <c r="P8" s="32"/>
      <c r="Q8" s="40"/>
      <c r="R8" s="42"/>
      <c r="S8" s="43"/>
      <c r="T8" s="43"/>
      <c r="U8" s="43"/>
      <c r="V8" s="43"/>
      <c r="W8" s="43"/>
      <c r="X8" s="44"/>
    </row>
    <row r="9" spans="1:24" ht="3.75" customHeight="1">
      <c r="A9" s="27"/>
      <c r="B9" s="36"/>
      <c r="C9" s="37"/>
      <c r="D9" s="37"/>
      <c r="E9" s="37"/>
      <c r="F9" s="32"/>
      <c r="G9" s="32"/>
      <c r="H9" s="32"/>
      <c r="I9" s="32"/>
      <c r="J9" s="32"/>
      <c r="K9" s="32"/>
      <c r="L9" s="32"/>
      <c r="M9" s="32"/>
      <c r="N9" s="32"/>
      <c r="O9" s="32"/>
      <c r="P9" s="32"/>
      <c r="Q9" s="40"/>
      <c r="R9" s="15"/>
      <c r="S9" s="15"/>
      <c r="T9" s="15"/>
      <c r="U9" s="15"/>
      <c r="V9" s="15"/>
      <c r="W9" s="15"/>
      <c r="X9" s="45"/>
    </row>
    <row r="10" spans="1:27" ht="14.25" customHeight="1">
      <c r="A10" s="27"/>
      <c r="B10" s="797" t="s">
        <v>58</v>
      </c>
      <c r="C10" s="798"/>
      <c r="D10" s="798"/>
      <c r="E10" s="798"/>
      <c r="F10" s="118">
        <f>'WORK SHEET'!E123</f>
        <v>0</v>
      </c>
      <c r="G10" s="118">
        <f>'WORK SHEET'!F123</f>
        <v>7</v>
      </c>
      <c r="H10" s="118">
        <f>'WORK SHEET'!G123</f>
        <v>0</v>
      </c>
      <c r="I10" s="39">
        <f>'WORK SHEET'!H123</f>
        <v>2</v>
      </c>
      <c r="J10" s="39">
        <f>'WORK SHEET'!I123</f>
        <v>0</v>
      </c>
      <c r="K10" s="39">
        <f>'WORK SHEET'!J123</f>
        <v>3</v>
      </c>
      <c r="L10" s="39">
        <f>'WORK SHEET'!K123</f>
        <v>0</v>
      </c>
      <c r="M10" s="39">
        <f>'WORK SHEET'!L123</f>
        <v>8</v>
      </c>
      <c r="N10" s="39">
        <f>'WORK SHEET'!M123</f>
        <v>0</v>
      </c>
      <c r="O10" s="39">
        <f>'WORK SHEET'!N123</f>
        <v>0</v>
      </c>
      <c r="P10" s="39">
        <f>'WORK SHEET'!O123</f>
        <v>8</v>
      </c>
      <c r="Q10" s="40"/>
      <c r="R10" s="33" t="s">
        <v>59</v>
      </c>
      <c r="S10" s="33"/>
      <c r="T10" s="33"/>
      <c r="U10" s="637" t="str">
        <f>'WORK SHEET'!E6</f>
        <v>KURNOOL</v>
      </c>
      <c r="V10" s="637"/>
      <c r="W10" s="637"/>
      <c r="X10" s="794"/>
      <c r="AA10" s="311"/>
    </row>
    <row r="11" spans="1:24" ht="3" customHeight="1" hidden="1">
      <c r="A11" s="27"/>
      <c r="B11" s="46"/>
      <c r="C11" s="33"/>
      <c r="D11" s="33"/>
      <c r="E11" s="33"/>
      <c r="F11" s="40"/>
      <c r="G11" s="40"/>
      <c r="H11" s="40"/>
      <c r="I11" s="40"/>
      <c r="J11" s="40"/>
      <c r="K11" s="40"/>
      <c r="L11" s="40"/>
      <c r="M11" s="40"/>
      <c r="N11" s="40"/>
      <c r="O11" s="40"/>
      <c r="P11" s="40"/>
      <c r="Q11" s="40"/>
      <c r="R11" s="33"/>
      <c r="S11" s="33"/>
      <c r="T11" s="33"/>
      <c r="U11" s="33"/>
      <c r="V11" s="33"/>
      <c r="W11" s="33"/>
      <c r="X11" s="47"/>
    </row>
    <row r="12" spans="1:24" ht="14.25" customHeight="1">
      <c r="A12" s="27"/>
      <c r="B12" s="46" t="s">
        <v>60</v>
      </c>
      <c r="C12" s="33"/>
      <c r="D12" s="33"/>
      <c r="E12" s="33"/>
      <c r="F12" s="580" t="str">
        <f>VLOOKUP('WORK SHEET'!E125,'WORK SHEET'!AS53:BB56,9,TRUE)</f>
        <v>MANDAL EDUCATIONAL OFFICER</v>
      </c>
      <c r="G12" s="580"/>
      <c r="H12" s="580"/>
      <c r="I12" s="580"/>
      <c r="J12" s="580"/>
      <c r="K12" s="580"/>
      <c r="L12" s="580"/>
      <c r="M12" s="795" t="s">
        <v>61</v>
      </c>
      <c r="N12" s="795"/>
      <c r="O12" s="795"/>
      <c r="P12" s="795"/>
      <c r="Q12" s="795"/>
      <c r="R12" s="561" t="str">
        <f>VLOOKUP('WORK SHEET'!E125,'WORK SHEET'!AS53:BD56,12,TRUE)</f>
        <v>MRC, ADDANKI</v>
      </c>
      <c r="S12" s="561"/>
      <c r="T12" s="561"/>
      <c r="U12" s="561"/>
      <c r="V12" s="561"/>
      <c r="W12" s="561"/>
      <c r="X12" s="796"/>
    </row>
    <row r="13" spans="1:24" ht="4.5" customHeight="1" hidden="1">
      <c r="A13" s="27"/>
      <c r="B13" s="46"/>
      <c r="C13" s="33"/>
      <c r="D13" s="33"/>
      <c r="E13" s="33"/>
      <c r="F13" s="40"/>
      <c r="G13" s="40"/>
      <c r="H13" s="40"/>
      <c r="I13" s="40"/>
      <c r="J13" s="40"/>
      <c r="K13" s="40"/>
      <c r="L13" s="40"/>
      <c r="M13" s="40"/>
      <c r="N13" s="40"/>
      <c r="O13" s="40"/>
      <c r="P13" s="40"/>
      <c r="Q13" s="40"/>
      <c r="R13" s="33"/>
      <c r="S13" s="33"/>
      <c r="T13" s="33"/>
      <c r="U13" s="33"/>
      <c r="V13" s="33"/>
      <c r="W13" s="33"/>
      <c r="X13" s="47"/>
    </row>
    <row r="14" spans="1:24" ht="7.5" customHeight="1" hidden="1">
      <c r="A14" s="27"/>
      <c r="B14" s="46"/>
      <c r="C14" s="33"/>
      <c r="D14" s="33"/>
      <c r="E14" s="33"/>
      <c r="F14" s="33"/>
      <c r="G14" s="33"/>
      <c r="H14" s="33"/>
      <c r="I14" s="33"/>
      <c r="J14" s="33"/>
      <c r="K14" s="33"/>
      <c r="L14" s="33"/>
      <c r="M14" s="33"/>
      <c r="N14" s="33"/>
      <c r="O14" s="33"/>
      <c r="P14" s="33"/>
      <c r="Q14" s="33"/>
      <c r="R14" s="33"/>
      <c r="S14" s="33"/>
      <c r="T14" s="33"/>
      <c r="U14" s="33"/>
      <c r="V14" s="33"/>
      <c r="W14" s="33"/>
      <c r="X14" s="47"/>
    </row>
    <row r="15" spans="1:27" ht="14.25" customHeight="1">
      <c r="A15" s="27"/>
      <c r="B15" s="46" t="s">
        <v>62</v>
      </c>
      <c r="C15" s="33"/>
      <c r="D15" s="33"/>
      <c r="E15" s="33"/>
      <c r="F15" s="48">
        <f>'WORK SHEET'!E131</f>
        <v>0</v>
      </c>
      <c r="G15" s="48">
        <f>'WORK SHEET'!F131</f>
        <v>7</v>
      </c>
      <c r="H15" s="48">
        <f>'WORK SHEET'!G131</f>
        <v>5</v>
      </c>
      <c r="I15" s="48">
        <f>'WORK SHEET'!H131</f>
        <v>1</v>
      </c>
      <c r="J15" s="49"/>
      <c r="K15" s="49"/>
      <c r="L15" s="33"/>
      <c r="M15" s="33"/>
      <c r="N15" s="793" t="s">
        <v>63</v>
      </c>
      <c r="O15" s="793"/>
      <c r="P15" s="793"/>
      <c r="Q15" s="793"/>
      <c r="R15" s="637" t="str">
        <f>'WORK SHEET'!E20</f>
        <v>SBI,ADDANKI</v>
      </c>
      <c r="S15" s="637"/>
      <c r="T15" s="637"/>
      <c r="U15" s="637"/>
      <c r="V15" s="637"/>
      <c r="W15" s="637"/>
      <c r="X15" s="794"/>
      <c r="AA15" s="117"/>
    </row>
    <row r="16" spans="1:24" ht="6" customHeight="1">
      <c r="A16" s="27"/>
      <c r="B16" s="46"/>
      <c r="C16" s="33"/>
      <c r="D16" s="33"/>
      <c r="E16" s="33"/>
      <c r="F16" s="32"/>
      <c r="G16" s="32"/>
      <c r="H16" s="32"/>
      <c r="I16" s="32"/>
      <c r="J16" s="41"/>
      <c r="K16" s="41"/>
      <c r="L16" s="33"/>
      <c r="M16" s="33"/>
      <c r="N16" s="33"/>
      <c r="O16" s="33"/>
      <c r="P16" s="33"/>
      <c r="Q16" s="33"/>
      <c r="R16" s="33"/>
      <c r="S16" s="33"/>
      <c r="T16" s="33"/>
      <c r="U16" s="33"/>
      <c r="V16" s="33"/>
      <c r="W16" s="33"/>
      <c r="X16" s="47"/>
    </row>
    <row r="17" spans="1:24" ht="12.75" customHeight="1">
      <c r="A17" s="27"/>
      <c r="B17" s="46" t="s">
        <v>64</v>
      </c>
      <c r="C17" s="33"/>
      <c r="D17" s="33"/>
      <c r="E17" s="33"/>
      <c r="F17" s="30">
        <v>0</v>
      </c>
      <c r="G17" s="30"/>
      <c r="H17" s="30"/>
      <c r="I17" s="50"/>
      <c r="J17" s="560" t="s">
        <v>567</v>
      </c>
      <c r="K17" s="560"/>
      <c r="L17" s="560"/>
      <c r="M17" s="33"/>
      <c r="N17" s="33"/>
      <c r="O17" s="33"/>
      <c r="P17" s="33"/>
      <c r="Q17" s="33"/>
      <c r="R17" s="33"/>
      <c r="S17" s="33"/>
      <c r="T17" s="33"/>
      <c r="U17" s="33"/>
      <c r="V17" s="33"/>
      <c r="W17" s="33"/>
      <c r="X17" s="47"/>
    </row>
    <row r="18" spans="1:24" ht="0.75" customHeight="1">
      <c r="A18" s="27"/>
      <c r="B18" s="46"/>
      <c r="C18" s="33"/>
      <c r="D18" s="33"/>
      <c r="E18" s="33"/>
      <c r="F18" s="33"/>
      <c r="G18" s="33"/>
      <c r="H18" s="33"/>
      <c r="I18" s="33"/>
      <c r="J18" s="33"/>
      <c r="K18" s="33"/>
      <c r="L18" s="33"/>
      <c r="M18" s="33"/>
      <c r="N18" s="33"/>
      <c r="O18" s="33"/>
      <c r="P18" s="33"/>
      <c r="Q18" s="33"/>
      <c r="R18" s="33"/>
      <c r="S18" s="33"/>
      <c r="T18" s="33"/>
      <c r="U18" s="33"/>
      <c r="V18" s="33"/>
      <c r="W18" s="33"/>
      <c r="X18" s="47"/>
    </row>
    <row r="19" spans="1:24" ht="7.5" customHeight="1" hidden="1">
      <c r="A19" s="27"/>
      <c r="B19" s="46"/>
      <c r="C19" s="33"/>
      <c r="D19" s="33"/>
      <c r="E19" s="33"/>
      <c r="F19" s="33"/>
      <c r="G19" s="33"/>
      <c r="H19" s="33"/>
      <c r="I19" s="33"/>
      <c r="J19" s="33"/>
      <c r="K19" s="33"/>
      <c r="L19" s="33"/>
      <c r="M19" s="33"/>
      <c r="N19" s="33"/>
      <c r="O19" s="33"/>
      <c r="P19" s="33"/>
      <c r="Q19" s="33"/>
      <c r="R19" s="51"/>
      <c r="S19" s="33"/>
      <c r="T19" s="33"/>
      <c r="U19" s="33"/>
      <c r="V19" s="33"/>
      <c r="W19" s="33"/>
      <c r="X19" s="47"/>
    </row>
    <row r="20" spans="1:24" ht="12.75" customHeight="1" hidden="1">
      <c r="A20" s="27"/>
      <c r="B20" s="46"/>
      <c r="C20" s="33"/>
      <c r="D20" s="33"/>
      <c r="E20" s="33"/>
      <c r="F20" s="33"/>
      <c r="G20" s="33"/>
      <c r="H20" s="33"/>
      <c r="I20" s="33"/>
      <c r="J20" s="33"/>
      <c r="K20" s="33"/>
      <c r="L20" s="33"/>
      <c r="M20" s="33"/>
      <c r="N20" s="33"/>
      <c r="O20" s="33"/>
      <c r="P20" s="33"/>
      <c r="Q20" s="33"/>
      <c r="R20" s="51"/>
      <c r="S20" s="33"/>
      <c r="T20" s="33"/>
      <c r="U20" s="33"/>
      <c r="V20" s="33"/>
      <c r="W20" s="33"/>
      <c r="X20" s="47"/>
    </row>
    <row r="21" spans="1:24" ht="1.5" customHeight="1">
      <c r="A21" s="27"/>
      <c r="B21" s="46"/>
      <c r="C21" s="33"/>
      <c r="D21" s="33"/>
      <c r="E21" s="33"/>
      <c r="F21" s="33"/>
      <c r="G21" s="33"/>
      <c r="H21" s="33"/>
      <c r="I21" s="33"/>
      <c r="J21" s="33"/>
      <c r="K21" s="33"/>
      <c r="L21" s="33"/>
      <c r="M21" s="33"/>
      <c r="N21" s="33"/>
      <c r="O21" s="33"/>
      <c r="P21" s="33"/>
      <c r="Q21" s="33"/>
      <c r="R21" s="33"/>
      <c r="S21" s="33"/>
      <c r="T21" s="33"/>
      <c r="U21" s="33"/>
      <c r="V21" s="33"/>
      <c r="W21" s="33"/>
      <c r="X21" s="47"/>
    </row>
    <row r="22" spans="1:24" ht="13.5" thickBot="1">
      <c r="A22" s="770" t="str">
        <f>'WORK SHEET'!AJ136</f>
        <v> UNDER RUPEES : ONE ONLY</v>
      </c>
      <c r="B22" s="52"/>
      <c r="C22" s="53"/>
      <c r="D22" s="53"/>
      <c r="E22" s="53"/>
      <c r="F22" s="53"/>
      <c r="G22" s="53"/>
      <c r="H22" s="53"/>
      <c r="I22" s="53"/>
      <c r="J22" s="53"/>
      <c r="K22" s="53"/>
      <c r="L22" s="53"/>
      <c r="M22" s="53"/>
      <c r="N22" s="53"/>
      <c r="O22" s="53"/>
      <c r="P22" s="53"/>
      <c r="Q22" s="53"/>
      <c r="R22" s="153" t="s">
        <v>318</v>
      </c>
      <c r="S22" s="53"/>
      <c r="T22" s="53"/>
      <c r="U22" s="53"/>
      <c r="V22" s="53"/>
      <c r="W22" s="53"/>
      <c r="X22" s="54"/>
    </row>
    <row r="23" spans="1:24" ht="12.75">
      <c r="A23" s="770"/>
      <c r="B23" s="55" t="s">
        <v>65</v>
      </c>
      <c r="C23" s="33"/>
      <c r="D23" s="33"/>
      <c r="E23" s="33"/>
      <c r="F23" s="33"/>
      <c r="G23" s="33"/>
      <c r="H23" s="33"/>
      <c r="I23" s="33"/>
      <c r="J23" s="33"/>
      <c r="K23" s="33"/>
      <c r="L23" s="56"/>
      <c r="M23" s="33" t="s">
        <v>66</v>
      </c>
      <c r="N23" s="33"/>
      <c r="O23" s="33"/>
      <c r="P23" s="33"/>
      <c r="Q23" s="33"/>
      <c r="R23" s="33"/>
      <c r="S23" s="33"/>
      <c r="T23" s="33" t="s">
        <v>67</v>
      </c>
      <c r="U23" s="33"/>
      <c r="V23" s="33"/>
      <c r="W23" s="33"/>
      <c r="X23" s="47"/>
    </row>
    <row r="24" spans="1:24" ht="14.25">
      <c r="A24" s="770"/>
      <c r="B24" s="46" t="s">
        <v>68</v>
      </c>
      <c r="C24" s="33"/>
      <c r="D24" s="33"/>
      <c r="E24" s="39">
        <v>2</v>
      </c>
      <c r="F24" s="39">
        <v>2</v>
      </c>
      <c r="G24" s="39">
        <v>0</v>
      </c>
      <c r="H24" s="39">
        <v>2</v>
      </c>
      <c r="I24" s="57" t="s">
        <v>69</v>
      </c>
      <c r="J24" s="40"/>
      <c r="K24" s="40"/>
      <c r="L24" s="40"/>
      <c r="M24" s="34">
        <v>1</v>
      </c>
      <c r="N24" s="33" t="s">
        <v>70</v>
      </c>
      <c r="O24" s="33"/>
      <c r="P24" s="33"/>
      <c r="Q24" s="33"/>
      <c r="R24" s="33"/>
      <c r="S24" s="33" t="s">
        <v>0</v>
      </c>
      <c r="T24" s="763" t="str">
        <f>IF('WORK SHEET'!E9='WORK SHEET'!N107," ",BILL!AH27)</f>
        <v> </v>
      </c>
      <c r="U24" s="763"/>
      <c r="V24" s="763"/>
      <c r="W24" s="763"/>
      <c r="X24" s="787"/>
    </row>
    <row r="25" spans="1:24" ht="6.75" customHeight="1">
      <c r="A25" s="770"/>
      <c r="B25" s="46"/>
      <c r="C25" s="33"/>
      <c r="D25" s="33"/>
      <c r="E25" s="40"/>
      <c r="F25" s="40"/>
      <c r="G25" s="40"/>
      <c r="H25" s="40"/>
      <c r="I25" s="40"/>
      <c r="J25" s="40"/>
      <c r="K25" s="40"/>
      <c r="L25" s="40"/>
      <c r="M25" s="34"/>
      <c r="N25" s="33"/>
      <c r="O25" s="33"/>
      <c r="P25" s="33"/>
      <c r="Q25" s="33"/>
      <c r="R25" s="33"/>
      <c r="S25" s="33"/>
      <c r="T25" s="144"/>
      <c r="U25" s="154"/>
      <c r="V25" s="154"/>
      <c r="W25" s="154"/>
      <c r="X25" s="155"/>
    </row>
    <row r="26" spans="1:24" ht="14.25">
      <c r="A26" s="770"/>
      <c r="B26" s="46" t="s">
        <v>71</v>
      </c>
      <c r="C26" s="33"/>
      <c r="D26" s="33"/>
      <c r="E26" s="39">
        <v>0</v>
      </c>
      <c r="F26" s="39">
        <f>VLOOKUP('WORK SHEET'!E125,'WORK SHEET'!AS53:AZ56,7,TRUE)</f>
        <v>1</v>
      </c>
      <c r="G26" s="58"/>
      <c r="H26" s="51" t="str">
        <f>VLOOKUP('WORK SHEET'!E125,'WORK SHEET'!AS53:AZ56,8,TRUE)</f>
        <v>Elementry Education</v>
      </c>
      <c r="I26" s="40"/>
      <c r="J26" s="40"/>
      <c r="K26" s="40"/>
      <c r="L26" s="40"/>
      <c r="M26" s="34">
        <v>2</v>
      </c>
      <c r="N26" s="33" t="s">
        <v>72</v>
      </c>
      <c r="O26" s="33"/>
      <c r="P26" s="33"/>
      <c r="Q26" s="33"/>
      <c r="R26" s="33"/>
      <c r="S26" s="33" t="s">
        <v>0</v>
      </c>
      <c r="T26" s="763"/>
      <c r="U26" s="763"/>
      <c r="V26" s="763"/>
      <c r="W26" s="763"/>
      <c r="X26" s="787"/>
    </row>
    <row r="27" spans="1:24" ht="6.75" customHeight="1">
      <c r="A27" s="770"/>
      <c r="B27" s="46"/>
      <c r="C27" s="33"/>
      <c r="D27" s="33"/>
      <c r="E27" s="58"/>
      <c r="F27" s="58"/>
      <c r="G27" s="58"/>
      <c r="H27" s="40"/>
      <c r="I27" s="40"/>
      <c r="J27" s="40"/>
      <c r="K27" s="40"/>
      <c r="L27" s="40"/>
      <c r="M27" s="34"/>
      <c r="N27" s="33"/>
      <c r="O27" s="33"/>
      <c r="P27" s="33"/>
      <c r="Q27" s="33"/>
      <c r="R27" s="33"/>
      <c r="S27" s="33"/>
      <c r="T27" s="144"/>
      <c r="U27" s="154"/>
      <c r="V27" s="154"/>
      <c r="W27" s="154"/>
      <c r="X27" s="155"/>
    </row>
    <row r="28" spans="1:24" ht="23.25" customHeight="1">
      <c r="A28" s="770"/>
      <c r="B28" s="46" t="s">
        <v>73</v>
      </c>
      <c r="C28" s="33"/>
      <c r="D28" s="33"/>
      <c r="E28" s="39">
        <v>1</v>
      </c>
      <c r="F28" s="39">
        <f>VLOOKUP('WORK SHEET'!E125,'WORK SHEET'!AS53:AZ56,3,TRUE)</f>
        <v>0</v>
      </c>
      <c r="G28" s="39">
        <f>VLOOKUP('WORK SHEET'!E125,'WORK SHEET'!AS53:AZ56,4,TRUE)</f>
        <v>3</v>
      </c>
      <c r="H28" s="788" t="str">
        <f>VLOOKUP('WORK SHEET'!E125,'WORK SHEET'!AS53:AZ56,2,TRUE)</f>
        <v>Assistance to Local Bodies for Primary Education</v>
      </c>
      <c r="I28" s="789"/>
      <c r="J28" s="789"/>
      <c r="K28" s="789"/>
      <c r="L28" s="790"/>
      <c r="M28" s="34">
        <v>3</v>
      </c>
      <c r="N28" s="33" t="s">
        <v>75</v>
      </c>
      <c r="O28" s="33"/>
      <c r="P28" s="33"/>
      <c r="Q28" s="33"/>
      <c r="R28" s="33"/>
      <c r="S28" s="33" t="s">
        <v>0</v>
      </c>
      <c r="T28" s="782"/>
      <c r="U28" s="782"/>
      <c r="V28" s="782"/>
      <c r="W28" s="782"/>
      <c r="X28" s="783"/>
    </row>
    <row r="29" spans="1:24" ht="6" customHeight="1">
      <c r="A29" s="770"/>
      <c r="B29" s="46"/>
      <c r="C29" s="33"/>
      <c r="D29" s="33"/>
      <c r="E29" s="58"/>
      <c r="F29" s="58"/>
      <c r="G29" s="58"/>
      <c r="H29" s="40"/>
      <c r="I29" s="40"/>
      <c r="J29" s="40"/>
      <c r="K29" s="40"/>
      <c r="L29" s="40"/>
      <c r="M29" s="34"/>
      <c r="N29" s="33"/>
      <c r="O29" s="33"/>
      <c r="P29" s="33"/>
      <c r="Q29" s="33"/>
      <c r="R29" s="33"/>
      <c r="S29" s="33"/>
      <c r="T29" s="144"/>
      <c r="U29" s="144"/>
      <c r="V29" s="144"/>
      <c r="W29" s="144"/>
      <c r="X29" s="145"/>
    </row>
    <row r="30" spans="1:24" ht="14.25" customHeight="1">
      <c r="A30" s="770"/>
      <c r="B30" s="59" t="s">
        <v>76</v>
      </c>
      <c r="C30" s="33"/>
      <c r="D30" s="33"/>
      <c r="E30" s="39"/>
      <c r="F30" s="39"/>
      <c r="G30" s="32"/>
      <c r="H30" s="40"/>
      <c r="I30" s="40"/>
      <c r="J30" s="40"/>
      <c r="K30" s="40"/>
      <c r="L30" s="40"/>
      <c r="M30" s="34">
        <v>4</v>
      </c>
      <c r="N30" s="33" t="s">
        <v>77</v>
      </c>
      <c r="O30" s="33"/>
      <c r="P30" s="33"/>
      <c r="Q30" s="33"/>
      <c r="R30" s="33"/>
      <c r="S30" s="33" t="s">
        <v>0</v>
      </c>
      <c r="T30" s="782"/>
      <c r="U30" s="782"/>
      <c r="V30" s="782"/>
      <c r="W30" s="782"/>
      <c r="X30" s="783"/>
    </row>
    <row r="31" spans="1:24" ht="4.5" customHeight="1">
      <c r="A31" s="770"/>
      <c r="B31" s="46"/>
      <c r="C31" s="33"/>
      <c r="D31" s="33"/>
      <c r="E31" s="32"/>
      <c r="F31" s="32"/>
      <c r="G31" s="32"/>
      <c r="H31" s="40"/>
      <c r="I31" s="40"/>
      <c r="J31" s="40"/>
      <c r="K31" s="40"/>
      <c r="L31" s="40"/>
      <c r="M31" s="34"/>
      <c r="N31" s="33"/>
      <c r="O31" s="33"/>
      <c r="P31" s="33"/>
      <c r="Q31" s="33"/>
      <c r="R31" s="33"/>
      <c r="S31" s="33"/>
      <c r="T31" s="144"/>
      <c r="U31" s="144"/>
      <c r="V31" s="144"/>
      <c r="W31" s="144"/>
      <c r="X31" s="145"/>
    </row>
    <row r="32" spans="1:24" ht="20.25" customHeight="1">
      <c r="A32" s="770"/>
      <c r="B32" s="46" t="s">
        <v>78</v>
      </c>
      <c r="C32" s="33"/>
      <c r="D32" s="33"/>
      <c r="E32" s="39">
        <v>0</v>
      </c>
      <c r="F32" s="39">
        <f>VLOOKUP('WORK SHEET'!E125,'WORK SHEET'!AS53:AZ56,6,TRUE)</f>
        <v>5</v>
      </c>
      <c r="G32" s="32"/>
      <c r="H32" s="791" t="str">
        <f>VLOOKUP('WORK SHEET'!E125,'WORK SHEET'!AS53:AZ56,5,TRUE)</f>
        <v>Teaching Grant to Mandal Praja Parishad</v>
      </c>
      <c r="I32" s="791"/>
      <c r="J32" s="791"/>
      <c r="K32" s="791"/>
      <c r="L32" s="792"/>
      <c r="M32" s="34">
        <v>5</v>
      </c>
      <c r="N32" s="33" t="s">
        <v>80</v>
      </c>
      <c r="O32" s="33"/>
      <c r="P32" s="33"/>
      <c r="Q32" s="33"/>
      <c r="R32" s="33"/>
      <c r="S32" s="33" t="s">
        <v>0</v>
      </c>
      <c r="T32" s="780"/>
      <c r="U32" s="780"/>
      <c r="V32" s="780"/>
      <c r="W32" s="780"/>
      <c r="X32" s="781"/>
    </row>
    <row r="33" spans="1:24" ht="7.5" customHeight="1">
      <c r="A33" s="770"/>
      <c r="B33" s="46"/>
      <c r="C33" s="33"/>
      <c r="D33" s="33"/>
      <c r="E33" s="32"/>
      <c r="F33" s="32"/>
      <c r="G33" s="32"/>
      <c r="H33" s="40"/>
      <c r="I33" s="40"/>
      <c r="J33" s="40"/>
      <c r="K33" s="40"/>
      <c r="L33" s="40"/>
      <c r="M33" s="34"/>
      <c r="N33" s="33"/>
      <c r="O33" s="33"/>
      <c r="P33" s="33"/>
      <c r="Q33" s="33"/>
      <c r="R33" s="33"/>
      <c r="S33" s="33"/>
      <c r="T33" s="144"/>
      <c r="U33" s="144"/>
      <c r="V33" s="144"/>
      <c r="W33" s="144"/>
      <c r="X33" s="145"/>
    </row>
    <row r="34" spans="1:24" ht="14.25">
      <c r="A34" s="770"/>
      <c r="B34" s="46" t="s">
        <v>81</v>
      </c>
      <c r="C34" s="33"/>
      <c r="D34" s="33"/>
      <c r="E34" s="39">
        <v>0</v>
      </c>
      <c r="F34" s="39">
        <v>1</v>
      </c>
      <c r="G34" s="39">
        <v>0</v>
      </c>
      <c r="H34" s="40" t="s">
        <v>82</v>
      </c>
      <c r="I34" s="40"/>
      <c r="J34" s="40"/>
      <c r="K34" s="40"/>
      <c r="L34" s="40"/>
      <c r="M34" s="34">
        <v>6</v>
      </c>
      <c r="N34" s="51" t="s">
        <v>83</v>
      </c>
      <c r="O34" s="33"/>
      <c r="P34" s="33"/>
      <c r="Q34" s="33"/>
      <c r="R34" s="33"/>
      <c r="S34" s="33" t="s">
        <v>0</v>
      </c>
      <c r="T34" s="780"/>
      <c r="U34" s="780"/>
      <c r="V34" s="780"/>
      <c r="W34" s="780"/>
      <c r="X34" s="781"/>
    </row>
    <row r="35" spans="1:24" ht="14.25">
      <c r="A35" s="770"/>
      <c r="B35" s="60"/>
      <c r="C35" s="43"/>
      <c r="D35" s="43"/>
      <c r="E35" s="61"/>
      <c r="F35" s="61"/>
      <c r="G35" s="61"/>
      <c r="H35" s="61"/>
      <c r="I35" s="61"/>
      <c r="J35" s="61"/>
      <c r="K35" s="61"/>
      <c r="L35" s="62"/>
      <c r="M35" s="34">
        <v>7</v>
      </c>
      <c r="N35" s="33" t="s">
        <v>84</v>
      </c>
      <c r="O35" s="33"/>
      <c r="P35" s="33"/>
      <c r="Q35" s="33"/>
      <c r="R35" s="33"/>
      <c r="S35" s="33" t="s">
        <v>0</v>
      </c>
      <c r="T35" s="780"/>
      <c r="U35" s="780"/>
      <c r="V35" s="780"/>
      <c r="W35" s="780"/>
      <c r="X35" s="781"/>
    </row>
    <row r="36" spans="1:24" ht="14.25">
      <c r="A36" s="770"/>
      <c r="B36" s="46"/>
      <c r="C36" s="33"/>
      <c r="D36" s="33"/>
      <c r="E36" s="33"/>
      <c r="F36" s="33"/>
      <c r="G36" s="33"/>
      <c r="H36" s="33"/>
      <c r="I36" s="33"/>
      <c r="J36" s="33"/>
      <c r="K36" s="33"/>
      <c r="L36" s="33"/>
      <c r="M36" s="34">
        <v>8</v>
      </c>
      <c r="N36" s="33" t="s">
        <v>85</v>
      </c>
      <c r="O36" s="33"/>
      <c r="P36" s="33"/>
      <c r="Q36" s="33"/>
      <c r="R36" s="33"/>
      <c r="S36" s="33" t="s">
        <v>0</v>
      </c>
      <c r="T36" s="780"/>
      <c r="U36" s="780"/>
      <c r="V36" s="780"/>
      <c r="W36" s="780"/>
      <c r="X36" s="781"/>
    </row>
    <row r="37" spans="1:24" ht="14.25">
      <c r="A37" s="770"/>
      <c r="B37" s="59" t="s">
        <v>86</v>
      </c>
      <c r="C37" s="33"/>
      <c r="D37" s="33"/>
      <c r="E37" s="33"/>
      <c r="F37" s="63" t="s">
        <v>87</v>
      </c>
      <c r="G37" s="51" t="s">
        <v>88</v>
      </c>
      <c r="H37" s="33"/>
      <c r="I37" s="33"/>
      <c r="J37" s="33"/>
      <c r="K37" s="63" t="s">
        <v>89</v>
      </c>
      <c r="L37" s="33"/>
      <c r="M37" s="34">
        <v>9</v>
      </c>
      <c r="N37" s="33" t="s">
        <v>90</v>
      </c>
      <c r="O37" s="33"/>
      <c r="P37" s="33"/>
      <c r="Q37" s="33"/>
      <c r="R37" s="33"/>
      <c r="S37" s="33" t="s">
        <v>0</v>
      </c>
      <c r="T37" s="780"/>
      <c r="U37" s="780"/>
      <c r="V37" s="780"/>
      <c r="W37" s="780"/>
      <c r="X37" s="781"/>
    </row>
    <row r="38" spans="1:24" ht="14.25">
      <c r="A38" s="770"/>
      <c r="B38" s="59" t="s">
        <v>91</v>
      </c>
      <c r="C38" s="33"/>
      <c r="D38" s="33"/>
      <c r="E38" s="33"/>
      <c r="F38" s="33"/>
      <c r="G38" s="33"/>
      <c r="H38" s="33"/>
      <c r="I38" s="33"/>
      <c r="J38" s="33"/>
      <c r="K38" s="33"/>
      <c r="L38" s="33"/>
      <c r="M38" s="34">
        <v>10</v>
      </c>
      <c r="N38" s="33" t="s">
        <v>92</v>
      </c>
      <c r="O38" s="33"/>
      <c r="P38" s="33"/>
      <c r="Q38" s="33"/>
      <c r="R38" s="33"/>
      <c r="S38" s="33" t="s">
        <v>0</v>
      </c>
      <c r="T38" s="780"/>
      <c r="U38" s="780"/>
      <c r="V38" s="780"/>
      <c r="W38" s="780"/>
      <c r="X38" s="781"/>
    </row>
    <row r="39" spans="1:24" ht="14.25">
      <c r="A39" s="770"/>
      <c r="B39" s="59" t="s">
        <v>93</v>
      </c>
      <c r="C39" s="33"/>
      <c r="D39" s="33"/>
      <c r="E39" s="33"/>
      <c r="F39" s="63">
        <v>2</v>
      </c>
      <c r="G39" s="63">
        <v>2</v>
      </c>
      <c r="H39" s="63">
        <v>0</v>
      </c>
      <c r="I39" s="63">
        <v>2</v>
      </c>
      <c r="J39" s="33"/>
      <c r="K39" s="33"/>
      <c r="L39" s="33"/>
      <c r="M39" s="34">
        <v>11</v>
      </c>
      <c r="N39" s="33" t="s">
        <v>94</v>
      </c>
      <c r="O39" s="33"/>
      <c r="P39" s="33"/>
      <c r="Q39" s="33"/>
      <c r="R39" s="33"/>
      <c r="S39" s="33" t="s">
        <v>0</v>
      </c>
      <c r="T39" s="780"/>
      <c r="U39" s="780"/>
      <c r="V39" s="780"/>
      <c r="W39" s="780"/>
      <c r="X39" s="781"/>
    </row>
    <row r="40" spans="1:24" ht="14.25">
      <c r="A40" s="770"/>
      <c r="B40" s="60"/>
      <c r="C40" s="43"/>
      <c r="D40" s="43"/>
      <c r="E40" s="43"/>
      <c r="F40" s="43"/>
      <c r="G40" s="43"/>
      <c r="H40" s="43"/>
      <c r="I40" s="43"/>
      <c r="J40" s="43"/>
      <c r="K40" s="43"/>
      <c r="L40" s="64"/>
      <c r="M40" s="34">
        <v>12</v>
      </c>
      <c r="N40" s="33" t="s">
        <v>95</v>
      </c>
      <c r="O40" s="33"/>
      <c r="P40" s="33"/>
      <c r="Q40" s="33"/>
      <c r="R40" s="33"/>
      <c r="S40" s="33" t="s">
        <v>0</v>
      </c>
      <c r="T40" s="771"/>
      <c r="U40" s="771"/>
      <c r="V40" s="771"/>
      <c r="W40" s="771"/>
      <c r="X40" s="786"/>
    </row>
    <row r="41" spans="1:24" ht="14.25">
      <c r="A41" s="770"/>
      <c r="B41" s="46"/>
      <c r="C41" s="33"/>
      <c r="D41" s="33"/>
      <c r="E41" s="33"/>
      <c r="F41" s="33"/>
      <c r="G41" s="33"/>
      <c r="H41" s="33"/>
      <c r="I41" s="33"/>
      <c r="J41" s="33"/>
      <c r="K41" s="33"/>
      <c r="L41" s="33"/>
      <c r="M41" s="34">
        <v>13</v>
      </c>
      <c r="N41" s="33" t="s">
        <v>96</v>
      </c>
      <c r="O41" s="33"/>
      <c r="P41" s="33"/>
      <c r="Q41" s="33"/>
      <c r="R41" s="33"/>
      <c r="S41" s="33" t="s">
        <v>0</v>
      </c>
      <c r="T41" s="780"/>
      <c r="U41" s="780"/>
      <c r="V41" s="780"/>
      <c r="W41" s="780"/>
      <c r="X41" s="781"/>
    </row>
    <row r="42" spans="1:24" ht="14.25">
      <c r="A42" s="770"/>
      <c r="B42" s="59" t="s">
        <v>97</v>
      </c>
      <c r="C42" s="33"/>
      <c r="D42" s="33"/>
      <c r="E42" s="33"/>
      <c r="F42" s="33"/>
      <c r="G42" s="33" t="s">
        <v>0</v>
      </c>
      <c r="H42" s="763">
        <f>BILL!AA38+BILL!AA27</f>
        <v>0</v>
      </c>
      <c r="I42" s="763"/>
      <c r="J42" s="763"/>
      <c r="K42" s="763"/>
      <c r="L42" s="764"/>
      <c r="M42" s="33">
        <v>14</v>
      </c>
      <c r="N42" s="33" t="s">
        <v>98</v>
      </c>
      <c r="O42" s="33"/>
      <c r="P42" s="33"/>
      <c r="Q42" s="33"/>
      <c r="R42" s="33"/>
      <c r="S42" s="33" t="s">
        <v>0</v>
      </c>
      <c r="T42" s="780"/>
      <c r="U42" s="780"/>
      <c r="V42" s="780"/>
      <c r="W42" s="780"/>
      <c r="X42" s="781"/>
    </row>
    <row r="43" spans="1:24" ht="14.25">
      <c r="A43" s="770"/>
      <c r="B43" s="59" t="s">
        <v>99</v>
      </c>
      <c r="C43" s="33"/>
      <c r="D43" s="33"/>
      <c r="E43" s="33"/>
      <c r="F43" s="33"/>
      <c r="G43" s="33" t="s">
        <v>0</v>
      </c>
      <c r="H43" s="784"/>
      <c r="I43" s="784"/>
      <c r="J43" s="784"/>
      <c r="K43" s="784"/>
      <c r="L43" s="785"/>
      <c r="M43" s="33">
        <v>15</v>
      </c>
      <c r="N43" s="33" t="s">
        <v>100</v>
      </c>
      <c r="O43" s="33"/>
      <c r="P43" s="33"/>
      <c r="Q43" s="33"/>
      <c r="R43" s="33"/>
      <c r="S43" s="33" t="s">
        <v>0</v>
      </c>
      <c r="T43" s="780"/>
      <c r="U43" s="780"/>
      <c r="V43" s="780"/>
      <c r="W43" s="780"/>
      <c r="X43" s="781"/>
    </row>
    <row r="44" spans="1:24" ht="14.25">
      <c r="A44" s="770"/>
      <c r="B44" s="59" t="s">
        <v>101</v>
      </c>
      <c r="C44" s="33"/>
      <c r="D44" s="33"/>
      <c r="E44" s="33"/>
      <c r="F44" s="33"/>
      <c r="G44" s="33" t="s">
        <v>0</v>
      </c>
      <c r="H44" s="761">
        <f>BILL!AB38+BILL!AB27</f>
        <v>0</v>
      </c>
      <c r="I44" s="761"/>
      <c r="J44" s="761"/>
      <c r="K44" s="761"/>
      <c r="L44" s="762"/>
      <c r="M44" s="33">
        <v>16</v>
      </c>
      <c r="N44" s="33" t="s">
        <v>102</v>
      </c>
      <c r="O44" s="33"/>
      <c r="P44" s="33"/>
      <c r="Q44" s="33"/>
      <c r="R44" s="33"/>
      <c r="S44" s="33" t="s">
        <v>0</v>
      </c>
      <c r="T44" s="780"/>
      <c r="U44" s="780"/>
      <c r="V44" s="780"/>
      <c r="W44" s="780"/>
      <c r="X44" s="781"/>
    </row>
    <row r="45" spans="1:24" ht="14.25">
      <c r="A45" s="770"/>
      <c r="B45" s="59" t="s">
        <v>103</v>
      </c>
      <c r="C45" s="33"/>
      <c r="D45" s="33"/>
      <c r="E45" s="33"/>
      <c r="F45" s="33"/>
      <c r="G45" s="33" t="s">
        <v>0</v>
      </c>
      <c r="H45" s="763"/>
      <c r="I45" s="763"/>
      <c r="J45" s="763"/>
      <c r="K45" s="763"/>
      <c r="L45" s="764"/>
      <c r="M45" s="33">
        <v>17</v>
      </c>
      <c r="N45" s="33" t="s">
        <v>104</v>
      </c>
      <c r="O45" s="33"/>
      <c r="P45" s="33"/>
      <c r="Q45" s="33"/>
      <c r="R45" s="33"/>
      <c r="S45" s="33" t="s">
        <v>0</v>
      </c>
      <c r="T45" s="780"/>
      <c r="U45" s="780"/>
      <c r="V45" s="780"/>
      <c r="W45" s="780"/>
      <c r="X45" s="781"/>
    </row>
    <row r="46" spans="1:24" ht="14.25">
      <c r="A46" s="770"/>
      <c r="B46" s="59" t="s">
        <v>105</v>
      </c>
      <c r="C46" s="33"/>
      <c r="D46" s="33"/>
      <c r="E46" s="33"/>
      <c r="F46" s="33"/>
      <c r="G46" s="33" t="s">
        <v>0</v>
      </c>
      <c r="H46" s="784">
        <f>BILL!AC38+BILL!AC27</f>
        <v>0</v>
      </c>
      <c r="I46" s="784"/>
      <c r="J46" s="784"/>
      <c r="K46" s="784"/>
      <c r="L46" s="785"/>
      <c r="M46" s="33">
        <v>18</v>
      </c>
      <c r="N46" s="33" t="s">
        <v>106</v>
      </c>
      <c r="O46" s="33"/>
      <c r="P46" s="33"/>
      <c r="Q46" s="33"/>
      <c r="R46" s="33"/>
      <c r="S46" s="33" t="s">
        <v>0</v>
      </c>
      <c r="T46" s="780"/>
      <c r="U46" s="780"/>
      <c r="V46" s="780"/>
      <c r="W46" s="780"/>
      <c r="X46" s="781"/>
    </row>
    <row r="47" spans="1:24" ht="14.25">
      <c r="A47" s="770"/>
      <c r="B47" s="46"/>
      <c r="C47" s="33"/>
      <c r="D47" s="33"/>
      <c r="E47" s="33"/>
      <c r="F47" s="33"/>
      <c r="G47" s="33" t="s">
        <v>0</v>
      </c>
      <c r="H47" s="771"/>
      <c r="I47" s="771"/>
      <c r="J47" s="771"/>
      <c r="K47" s="771"/>
      <c r="L47" s="772"/>
      <c r="M47" s="33">
        <v>19</v>
      </c>
      <c r="N47" s="33" t="s">
        <v>107</v>
      </c>
      <c r="O47" s="33"/>
      <c r="P47" s="33"/>
      <c r="Q47" s="33"/>
      <c r="R47" s="33"/>
      <c r="S47" s="33" t="s">
        <v>0</v>
      </c>
      <c r="T47" s="780"/>
      <c r="U47" s="780"/>
      <c r="V47" s="780"/>
      <c r="W47" s="780"/>
      <c r="X47" s="781"/>
    </row>
    <row r="48" spans="1:24" ht="14.25">
      <c r="A48" s="770"/>
      <c r="B48" s="46"/>
      <c r="C48" s="33"/>
      <c r="D48" s="33"/>
      <c r="E48" s="33"/>
      <c r="F48" s="33"/>
      <c r="G48" s="33" t="s">
        <v>0</v>
      </c>
      <c r="H48" s="771"/>
      <c r="I48" s="771"/>
      <c r="J48" s="771"/>
      <c r="K48" s="771"/>
      <c r="L48" s="772"/>
      <c r="M48" s="33">
        <v>20</v>
      </c>
      <c r="N48" s="33" t="s">
        <v>108</v>
      </c>
      <c r="O48" s="33"/>
      <c r="P48" s="33"/>
      <c r="Q48" s="33"/>
      <c r="R48" s="33"/>
      <c r="S48" s="33" t="s">
        <v>0</v>
      </c>
      <c r="T48" s="782">
        <f>IF('WORK SHEET'!E9='WORK SHEET'!N108," ",BILL!AH27)</f>
        <v>0</v>
      </c>
      <c r="U48" s="782"/>
      <c r="V48" s="782"/>
      <c r="W48" s="782"/>
      <c r="X48" s="783"/>
    </row>
    <row r="49" spans="1:24" ht="14.25">
      <c r="A49" s="770"/>
      <c r="B49" s="46"/>
      <c r="C49" s="33"/>
      <c r="D49" s="65" t="e">
        <v>#REF!</v>
      </c>
      <c r="E49" s="33"/>
      <c r="F49" s="33"/>
      <c r="G49" s="33" t="s">
        <v>0</v>
      </c>
      <c r="H49" s="775"/>
      <c r="I49" s="775"/>
      <c r="J49" s="775"/>
      <c r="K49" s="775"/>
      <c r="L49" s="779"/>
      <c r="M49" s="33">
        <v>21</v>
      </c>
      <c r="N49" s="33"/>
      <c r="O49" s="33"/>
      <c r="P49" s="33"/>
      <c r="Q49" s="33"/>
      <c r="R49" s="33"/>
      <c r="S49" s="33" t="s">
        <v>0</v>
      </c>
      <c r="T49" s="782" t="str">
        <f>IF('[1]BILL'!AF92=0," ",'[1]BILL'!AF92)</f>
        <v> </v>
      </c>
      <c r="U49" s="782"/>
      <c r="V49" s="782"/>
      <c r="W49" s="782"/>
      <c r="X49" s="783"/>
    </row>
    <row r="50" spans="1:24" ht="14.25">
      <c r="A50" s="770"/>
      <c r="B50" s="46"/>
      <c r="C50" s="33"/>
      <c r="D50" s="33"/>
      <c r="E50" s="33"/>
      <c r="F50" s="33"/>
      <c r="G50" s="33" t="s">
        <v>0</v>
      </c>
      <c r="H50" s="771"/>
      <c r="I50" s="771"/>
      <c r="J50" s="771"/>
      <c r="K50" s="771"/>
      <c r="L50" s="772"/>
      <c r="M50" s="33">
        <v>22</v>
      </c>
      <c r="N50" s="33"/>
      <c r="O50" s="33"/>
      <c r="P50" s="33"/>
      <c r="Q50" s="33"/>
      <c r="R50" s="33"/>
      <c r="S50" s="33" t="s">
        <v>0</v>
      </c>
      <c r="T50" s="775"/>
      <c r="U50" s="775"/>
      <c r="V50" s="775"/>
      <c r="W50" s="775"/>
      <c r="X50" s="776"/>
    </row>
    <row r="51" spans="1:24" ht="14.25">
      <c r="A51" s="770"/>
      <c r="B51" s="46"/>
      <c r="C51" s="33"/>
      <c r="D51" s="33"/>
      <c r="E51" s="33"/>
      <c r="F51" s="33"/>
      <c r="G51" s="33" t="s">
        <v>0</v>
      </c>
      <c r="H51" s="775"/>
      <c r="I51" s="775"/>
      <c r="J51" s="775"/>
      <c r="K51" s="775"/>
      <c r="L51" s="779"/>
      <c r="M51" s="33">
        <v>23</v>
      </c>
      <c r="N51" s="33"/>
      <c r="O51" s="33"/>
      <c r="P51" s="33"/>
      <c r="Q51" s="33"/>
      <c r="R51" s="33"/>
      <c r="S51" s="33" t="s">
        <v>0</v>
      </c>
      <c r="T51" s="775"/>
      <c r="U51" s="775"/>
      <c r="V51" s="775"/>
      <c r="W51" s="775"/>
      <c r="X51" s="776"/>
    </row>
    <row r="52" spans="1:24" ht="14.25">
      <c r="A52" s="770"/>
      <c r="B52" s="46"/>
      <c r="C52" s="33"/>
      <c r="D52" s="33"/>
      <c r="E52" s="33"/>
      <c r="F52" s="33"/>
      <c r="G52" s="33" t="s">
        <v>0</v>
      </c>
      <c r="H52" s="771"/>
      <c r="I52" s="771"/>
      <c r="J52" s="771"/>
      <c r="K52" s="771"/>
      <c r="L52" s="772"/>
      <c r="M52" s="33">
        <v>24</v>
      </c>
      <c r="N52" s="33"/>
      <c r="O52" s="33"/>
      <c r="P52" s="33"/>
      <c r="Q52" s="33"/>
      <c r="R52" s="33"/>
      <c r="S52" s="33" t="s">
        <v>0</v>
      </c>
      <c r="T52" s="775"/>
      <c r="U52" s="775"/>
      <c r="V52" s="775"/>
      <c r="W52" s="775"/>
      <c r="X52" s="776"/>
    </row>
    <row r="53" spans="1:24" ht="14.25">
      <c r="A53" s="770"/>
      <c r="B53" s="46"/>
      <c r="C53" s="33"/>
      <c r="D53" s="33"/>
      <c r="E53" s="33"/>
      <c r="F53" s="33"/>
      <c r="G53" s="33" t="s">
        <v>0</v>
      </c>
      <c r="H53" s="771"/>
      <c r="I53" s="771"/>
      <c r="J53" s="771"/>
      <c r="K53" s="771"/>
      <c r="L53" s="772"/>
      <c r="M53" s="43">
        <v>25</v>
      </c>
      <c r="N53" s="43"/>
      <c r="O53" s="43"/>
      <c r="P53" s="43"/>
      <c r="Q53" s="43"/>
      <c r="R53" s="43"/>
      <c r="S53" s="43" t="s">
        <v>0</v>
      </c>
      <c r="T53" s="773"/>
      <c r="U53" s="773"/>
      <c r="V53" s="773"/>
      <c r="W53" s="773"/>
      <c r="X53" s="774"/>
    </row>
    <row r="54" spans="1:24" ht="14.25">
      <c r="A54" s="770"/>
      <c r="B54" s="46"/>
      <c r="C54" s="33"/>
      <c r="D54" s="33"/>
      <c r="E54" s="33"/>
      <c r="F54" s="33"/>
      <c r="G54" s="33" t="s">
        <v>0</v>
      </c>
      <c r="H54" s="771"/>
      <c r="I54" s="771"/>
      <c r="J54" s="771"/>
      <c r="K54" s="771"/>
      <c r="L54" s="772"/>
      <c r="M54" s="66" t="s">
        <v>109</v>
      </c>
      <c r="N54" s="66"/>
      <c r="O54" s="66"/>
      <c r="P54" s="66"/>
      <c r="Q54" s="66"/>
      <c r="R54" s="66"/>
      <c r="S54" s="66" t="s">
        <v>0</v>
      </c>
      <c r="T54" s="777">
        <f>SUM(T24:T53)</f>
        <v>0</v>
      </c>
      <c r="U54" s="777"/>
      <c r="V54" s="777"/>
      <c r="W54" s="777"/>
      <c r="X54" s="778"/>
    </row>
    <row r="55" spans="1:25" ht="14.25">
      <c r="A55" s="770"/>
      <c r="B55" s="46" t="s">
        <v>110</v>
      </c>
      <c r="C55" s="33"/>
      <c r="D55" s="33"/>
      <c r="E55" s="33"/>
      <c r="F55" s="33"/>
      <c r="G55" s="33" t="s">
        <v>0</v>
      </c>
      <c r="H55" s="761">
        <f>BILL!AH38+BILL!AH27</f>
        <v>0</v>
      </c>
      <c r="I55" s="761"/>
      <c r="J55" s="761"/>
      <c r="K55" s="761"/>
      <c r="L55" s="762"/>
      <c r="M55" s="51" t="s">
        <v>111</v>
      </c>
      <c r="N55" s="33"/>
      <c r="O55" s="33"/>
      <c r="P55" s="33"/>
      <c r="Q55" s="33"/>
      <c r="R55" s="33"/>
      <c r="S55" s="67" t="s">
        <v>0</v>
      </c>
      <c r="T55" s="15"/>
      <c r="U55" s="15"/>
      <c r="V55" s="15"/>
      <c r="W55" s="15"/>
      <c r="X55" s="45"/>
      <c r="Y55" s="15"/>
    </row>
    <row r="56" spans="1:25" ht="14.25">
      <c r="A56" s="770"/>
      <c r="B56" s="46" t="s">
        <v>112</v>
      </c>
      <c r="C56" s="33"/>
      <c r="D56" s="33"/>
      <c r="E56" s="33"/>
      <c r="F56" s="33"/>
      <c r="G56" s="33" t="s">
        <v>0</v>
      </c>
      <c r="H56" s="761">
        <f>T54</f>
        <v>0</v>
      </c>
      <c r="I56" s="761"/>
      <c r="J56" s="761"/>
      <c r="K56" s="761"/>
      <c r="L56" s="762"/>
      <c r="M56" s="33"/>
      <c r="N56" s="33"/>
      <c r="O56" s="33"/>
      <c r="P56" s="33"/>
      <c r="Q56" s="33"/>
      <c r="R56" s="33"/>
      <c r="S56" s="33"/>
      <c r="T56" s="33"/>
      <c r="U56" s="33"/>
      <c r="V56" s="33"/>
      <c r="W56" s="33"/>
      <c r="X56" s="47"/>
      <c r="Y56" s="15"/>
    </row>
    <row r="57" spans="1:25" ht="14.25">
      <c r="A57" s="770"/>
      <c r="B57" s="46" t="s">
        <v>113</v>
      </c>
      <c r="C57" s="33"/>
      <c r="D57" s="33"/>
      <c r="E57" s="33"/>
      <c r="F57" s="33"/>
      <c r="G57" s="33" t="s">
        <v>0</v>
      </c>
      <c r="H57" s="763">
        <f>H55-H56</f>
        <v>0</v>
      </c>
      <c r="I57" s="763"/>
      <c r="J57" s="763"/>
      <c r="K57" s="763"/>
      <c r="L57" s="764"/>
      <c r="M57" s="33"/>
      <c r="N57" s="33"/>
      <c r="O57" s="68"/>
      <c r="P57" s="33"/>
      <c r="Q57" s="33"/>
      <c r="R57" s="33"/>
      <c r="S57" s="33"/>
      <c r="T57" s="33"/>
      <c r="U57" s="33"/>
      <c r="V57" s="33"/>
      <c r="W57" s="33"/>
      <c r="X57" s="47"/>
      <c r="Y57" s="15"/>
    </row>
    <row r="58" spans="1:25" ht="12.75">
      <c r="A58" s="770"/>
      <c r="B58" s="46" t="s">
        <v>114</v>
      </c>
      <c r="C58" s="33"/>
      <c r="D58" s="33"/>
      <c r="E58" s="33"/>
      <c r="F58" s="33"/>
      <c r="G58" s="33"/>
      <c r="H58" s="69"/>
      <c r="I58" s="69"/>
      <c r="J58" s="69"/>
      <c r="K58" s="69"/>
      <c r="L58" s="70"/>
      <c r="M58" s="33"/>
      <c r="N58" s="33"/>
      <c r="O58" s="33"/>
      <c r="P58" s="33"/>
      <c r="Q58" s="33"/>
      <c r="R58" s="33"/>
      <c r="S58" s="33"/>
      <c r="T58" s="33"/>
      <c r="U58" s="33"/>
      <c r="V58" s="33"/>
      <c r="W58" s="33"/>
      <c r="X58" s="47"/>
      <c r="Y58" s="15"/>
    </row>
    <row r="59" spans="1:25" ht="25.5" customHeight="1">
      <c r="A59" s="770"/>
      <c r="B59" s="765" t="str">
        <f>'BILL-P.F &amp; CASH'!A41</f>
        <v>RUPEES ZERO ONLY</v>
      </c>
      <c r="C59" s="647"/>
      <c r="D59" s="647"/>
      <c r="E59" s="647"/>
      <c r="F59" s="647"/>
      <c r="G59" s="647"/>
      <c r="H59" s="647"/>
      <c r="I59" s="647"/>
      <c r="J59" s="647"/>
      <c r="K59" s="647"/>
      <c r="L59" s="766"/>
      <c r="M59" s="71"/>
      <c r="N59" s="71"/>
      <c r="O59" s="71"/>
      <c r="P59" s="71"/>
      <c r="Q59" s="71"/>
      <c r="R59" s="72"/>
      <c r="S59" s="72"/>
      <c r="T59" s="72"/>
      <c r="U59" s="72"/>
      <c r="V59" s="72"/>
      <c r="W59" s="72"/>
      <c r="X59" s="73"/>
      <c r="Y59" s="15"/>
    </row>
    <row r="60" spans="1:25" ht="13.5" customHeight="1">
      <c r="A60" s="770"/>
      <c r="B60" s="767"/>
      <c r="C60" s="768"/>
      <c r="D60" s="768"/>
      <c r="E60" s="768"/>
      <c r="F60" s="768"/>
      <c r="G60" s="768"/>
      <c r="H60" s="768"/>
      <c r="I60" s="768"/>
      <c r="J60" s="768"/>
      <c r="K60" s="768"/>
      <c r="L60" s="769"/>
      <c r="M60" s="42"/>
      <c r="N60" s="43"/>
      <c r="O60" s="43"/>
      <c r="P60" s="43"/>
      <c r="Q60" s="43"/>
      <c r="R60" s="43"/>
      <c r="S60" s="43" t="s">
        <v>115</v>
      </c>
      <c r="T60" s="43"/>
      <c r="U60" s="43"/>
      <c r="V60" s="43"/>
      <c r="W60" s="43"/>
      <c r="X60" s="74"/>
      <c r="Y60" s="15"/>
    </row>
    <row r="61" spans="1:25" ht="15.75" customHeight="1">
      <c r="A61" s="770"/>
      <c r="B61" s="753" t="s">
        <v>116</v>
      </c>
      <c r="C61" s="754"/>
      <c r="D61" s="754"/>
      <c r="E61" s="754"/>
      <c r="F61" s="754"/>
      <c r="G61" s="754"/>
      <c r="H61" s="754"/>
      <c r="I61" s="754"/>
      <c r="J61" s="754"/>
      <c r="K61" s="754"/>
      <c r="L61" s="754"/>
      <c r="M61" s="754"/>
      <c r="N61" s="754"/>
      <c r="O61" s="754"/>
      <c r="P61" s="754"/>
      <c r="Q61" s="754"/>
      <c r="R61" s="754"/>
      <c r="S61" s="754"/>
      <c r="T61" s="754"/>
      <c r="U61" s="754"/>
      <c r="V61" s="754"/>
      <c r="W61" s="754"/>
      <c r="X61" s="755"/>
      <c r="Y61" s="15"/>
    </row>
    <row r="62" spans="1:25" ht="12.75">
      <c r="A62" s="770"/>
      <c r="B62" s="46" t="s">
        <v>117</v>
      </c>
      <c r="C62" s="33" t="s">
        <v>118</v>
      </c>
      <c r="D62" s="33"/>
      <c r="E62" s="33"/>
      <c r="F62" s="33"/>
      <c r="G62" s="33"/>
      <c r="H62" s="33" t="s">
        <v>119</v>
      </c>
      <c r="I62" s="33"/>
      <c r="J62" s="33"/>
      <c r="K62" s="33"/>
      <c r="L62" s="33"/>
      <c r="M62" s="33"/>
      <c r="N62" s="33"/>
      <c r="O62" s="33"/>
      <c r="P62" s="33"/>
      <c r="Q62" s="33"/>
      <c r="R62" s="33"/>
      <c r="S62" s="33"/>
      <c r="T62" s="33"/>
      <c r="U62" s="33"/>
      <c r="V62" s="33"/>
      <c r="W62" s="33"/>
      <c r="X62" s="47"/>
      <c r="Y62" s="15"/>
    </row>
    <row r="63" spans="1:25" ht="22.5" customHeight="1">
      <c r="A63" s="770"/>
      <c r="B63" s="75" t="s">
        <v>120</v>
      </c>
      <c r="C63" s="33"/>
      <c r="D63" s="33"/>
      <c r="E63" s="33"/>
      <c r="F63" s="33"/>
      <c r="G63" s="33"/>
      <c r="H63" s="33"/>
      <c r="I63" s="33"/>
      <c r="J63" s="33"/>
      <c r="K63" s="33"/>
      <c r="L63" s="33"/>
      <c r="M63" s="33"/>
      <c r="N63" s="33"/>
      <c r="O63" s="33"/>
      <c r="P63" s="33"/>
      <c r="Q63" s="33"/>
      <c r="R63" s="33"/>
      <c r="S63" s="33"/>
      <c r="T63" s="33"/>
      <c r="U63" s="33"/>
      <c r="V63" s="33"/>
      <c r="W63" s="33"/>
      <c r="X63" s="47"/>
      <c r="Y63" s="15"/>
    </row>
    <row r="64" spans="1:25" ht="21" customHeight="1">
      <c r="A64" s="770"/>
      <c r="B64" s="756" t="s">
        <v>121</v>
      </c>
      <c r="C64" s="757"/>
      <c r="D64" s="757"/>
      <c r="E64" s="757"/>
      <c r="F64" s="757"/>
      <c r="G64" s="757"/>
      <c r="H64" s="757"/>
      <c r="I64" s="757"/>
      <c r="J64" s="757"/>
      <c r="K64" s="757"/>
      <c r="L64" s="757"/>
      <c r="M64" s="757"/>
      <c r="N64" s="757"/>
      <c r="O64" s="757"/>
      <c r="P64" s="757"/>
      <c r="Q64" s="757"/>
      <c r="R64" s="757"/>
      <c r="S64" s="757"/>
      <c r="T64" s="757"/>
      <c r="U64" s="757"/>
      <c r="V64" s="757"/>
      <c r="W64" s="757"/>
      <c r="X64" s="758"/>
      <c r="Y64" s="15"/>
    </row>
    <row r="65" spans="1:25" ht="21" customHeight="1">
      <c r="A65" s="759">
        <f>H57+1</f>
        <v>1</v>
      </c>
      <c r="B65" s="75" t="s">
        <v>122</v>
      </c>
      <c r="C65" s="33"/>
      <c r="D65" s="33"/>
      <c r="E65" s="33"/>
      <c r="F65" s="33"/>
      <c r="G65" s="33"/>
      <c r="H65" s="33"/>
      <c r="I65" s="33"/>
      <c r="J65" s="33"/>
      <c r="K65" s="33"/>
      <c r="L65" s="33"/>
      <c r="M65" s="33"/>
      <c r="N65" s="33"/>
      <c r="O65" s="33"/>
      <c r="P65" s="33"/>
      <c r="Q65" s="33"/>
      <c r="R65" s="33"/>
      <c r="S65" s="33"/>
      <c r="T65" s="33"/>
      <c r="U65" s="33"/>
      <c r="V65" s="33"/>
      <c r="W65" s="33"/>
      <c r="X65" s="47"/>
      <c r="Y65" s="15"/>
    </row>
    <row r="66" spans="1:25" ht="12.75" customHeight="1" hidden="1">
      <c r="A66" s="760"/>
      <c r="B66" s="46"/>
      <c r="C66" s="33"/>
      <c r="D66" s="33"/>
      <c r="E66" s="33"/>
      <c r="F66" s="33"/>
      <c r="G66" s="33"/>
      <c r="H66" s="33"/>
      <c r="I66" s="33"/>
      <c r="J66" s="33"/>
      <c r="K66" s="33"/>
      <c r="L66" s="33"/>
      <c r="M66" s="33"/>
      <c r="N66" s="33"/>
      <c r="O66" s="33"/>
      <c r="P66" s="33"/>
      <c r="Q66" s="33"/>
      <c r="R66" s="33"/>
      <c r="S66" s="33"/>
      <c r="T66" s="33"/>
      <c r="U66" s="33"/>
      <c r="V66" s="33"/>
      <c r="W66" s="33"/>
      <c r="X66" s="47"/>
      <c r="Y66" s="15"/>
    </row>
    <row r="67" spans="1:25" ht="18.75" customHeight="1">
      <c r="A67" s="760"/>
      <c r="B67" s="46"/>
      <c r="C67" s="33"/>
      <c r="D67" s="33"/>
      <c r="E67" s="51" t="s">
        <v>123</v>
      </c>
      <c r="F67" s="33"/>
      <c r="G67" s="33"/>
      <c r="H67" s="33"/>
      <c r="I67" s="33"/>
      <c r="J67" s="33"/>
      <c r="K67" s="33"/>
      <c r="L67" s="33"/>
      <c r="M67" s="33"/>
      <c r="N67" s="33"/>
      <c r="O67" s="33"/>
      <c r="P67" s="33"/>
      <c r="Q67" s="33"/>
      <c r="R67" s="33"/>
      <c r="S67" s="33"/>
      <c r="T67" s="33"/>
      <c r="U67" s="33"/>
      <c r="V67" s="33"/>
      <c r="W67" s="33"/>
      <c r="X67" s="47"/>
      <c r="Y67" s="15"/>
    </row>
    <row r="68" spans="1:25" ht="19.5" customHeight="1">
      <c r="A68" s="760"/>
      <c r="B68" s="46"/>
      <c r="C68" s="33"/>
      <c r="D68" s="33"/>
      <c r="E68" s="51" t="s">
        <v>124</v>
      </c>
      <c r="F68" s="33"/>
      <c r="G68" s="33"/>
      <c r="H68" s="33"/>
      <c r="I68" s="33"/>
      <c r="J68" s="33"/>
      <c r="K68" s="33"/>
      <c r="L68" s="33"/>
      <c r="M68" s="33"/>
      <c r="N68" s="33"/>
      <c r="O68" s="33"/>
      <c r="P68" s="33"/>
      <c r="Q68" s="33"/>
      <c r="R68" s="33"/>
      <c r="S68" s="33"/>
      <c r="T68" s="33"/>
      <c r="U68" s="33"/>
      <c r="V68" s="33"/>
      <c r="W68" s="33"/>
      <c r="X68" s="47"/>
      <c r="Y68" s="15"/>
    </row>
    <row r="69" spans="1:25" ht="12.75">
      <c r="A69" s="760"/>
      <c r="B69" s="46"/>
      <c r="C69" s="33"/>
      <c r="D69" s="33"/>
      <c r="E69" s="33"/>
      <c r="F69" s="33"/>
      <c r="G69" s="33"/>
      <c r="H69" s="33"/>
      <c r="I69" s="33"/>
      <c r="J69" s="33"/>
      <c r="K69" s="33"/>
      <c r="L69" s="33"/>
      <c r="M69" s="33"/>
      <c r="N69" s="33"/>
      <c r="O69" s="33"/>
      <c r="P69" s="33"/>
      <c r="Q69" s="33"/>
      <c r="R69" s="33"/>
      <c r="S69" s="33"/>
      <c r="T69" s="33"/>
      <c r="U69" s="33"/>
      <c r="V69" s="33"/>
      <c r="W69" s="33"/>
      <c r="X69" s="47"/>
      <c r="Y69" s="15"/>
    </row>
    <row r="70" spans="1:25" ht="22.5" customHeight="1" thickBot="1">
      <c r="A70" s="76" t="s">
        <v>125</v>
      </c>
      <c r="B70" s="52"/>
      <c r="C70" s="53"/>
      <c r="D70" s="53"/>
      <c r="E70" s="53"/>
      <c r="F70" s="53"/>
      <c r="G70" s="53"/>
      <c r="H70" s="53"/>
      <c r="I70" s="53"/>
      <c r="J70" s="53"/>
      <c r="K70" s="53"/>
      <c r="L70" s="53"/>
      <c r="M70" s="53"/>
      <c r="N70" s="53" t="s">
        <v>126</v>
      </c>
      <c r="O70" s="77"/>
      <c r="P70" s="53"/>
      <c r="Q70" s="53"/>
      <c r="R70" s="53"/>
      <c r="S70" s="53"/>
      <c r="T70" s="53"/>
      <c r="U70" s="53"/>
      <c r="V70" s="53"/>
      <c r="W70" s="53"/>
      <c r="X70" s="54"/>
      <c r="Y70" s="15"/>
    </row>
    <row r="71" spans="1:24" ht="12.75">
      <c r="A71" s="78"/>
      <c r="B71" s="9"/>
      <c r="C71" s="9"/>
      <c r="D71" s="9"/>
      <c r="E71" s="9"/>
      <c r="F71" s="9"/>
      <c r="G71" s="9"/>
      <c r="H71" s="9"/>
      <c r="I71" s="9"/>
      <c r="J71" s="9"/>
      <c r="K71" s="9"/>
      <c r="L71" s="9"/>
      <c r="M71" s="9"/>
      <c r="N71" s="9"/>
      <c r="O71" s="9"/>
      <c r="P71" s="9"/>
      <c r="Q71" s="9"/>
      <c r="R71" s="9"/>
      <c r="S71" s="9"/>
      <c r="T71" s="9"/>
      <c r="U71" s="9"/>
      <c r="V71" s="9"/>
      <c r="W71" s="9"/>
      <c r="X71" s="9"/>
    </row>
    <row r="72" ht="12.75">
      <c r="A72" s="9"/>
    </row>
    <row r="73" ht="12.75">
      <c r="A73" s="9"/>
    </row>
    <row r="74" ht="12.75">
      <c r="A74" s="9"/>
    </row>
  </sheetData>
  <sheetProtection selectLockedCells="1"/>
  <mergeCells count="65">
    <mergeCell ref="B10:E10"/>
    <mergeCell ref="B7:E7"/>
    <mergeCell ref="R7:S7"/>
    <mergeCell ref="U7:X7"/>
    <mergeCell ref="B1:V1"/>
    <mergeCell ref="B3:X3"/>
    <mergeCell ref="B2:X2"/>
    <mergeCell ref="R4:X4"/>
    <mergeCell ref="B5:E5"/>
    <mergeCell ref="M12:Q12"/>
    <mergeCell ref="R12:X12"/>
    <mergeCell ref="U10:X10"/>
    <mergeCell ref="F12:L12"/>
    <mergeCell ref="T38:X38"/>
    <mergeCell ref="N15:Q15"/>
    <mergeCell ref="J17:L17"/>
    <mergeCell ref="R15:X15"/>
    <mergeCell ref="T34:X34"/>
    <mergeCell ref="T35:X35"/>
    <mergeCell ref="T36:X36"/>
    <mergeCell ref="T37:X37"/>
    <mergeCell ref="H43:L43"/>
    <mergeCell ref="T43:X43"/>
    <mergeCell ref="T39:X39"/>
    <mergeCell ref="T24:X24"/>
    <mergeCell ref="T26:X26"/>
    <mergeCell ref="H28:L28"/>
    <mergeCell ref="T28:X28"/>
    <mergeCell ref="T30:X30"/>
    <mergeCell ref="H32:L32"/>
    <mergeCell ref="T32:X32"/>
    <mergeCell ref="T40:X40"/>
    <mergeCell ref="T41:X41"/>
    <mergeCell ref="H42:L42"/>
    <mergeCell ref="T42:X42"/>
    <mergeCell ref="H49:L49"/>
    <mergeCell ref="T49:X49"/>
    <mergeCell ref="H44:L44"/>
    <mergeCell ref="T44:X44"/>
    <mergeCell ref="H45:L45"/>
    <mergeCell ref="T45:X45"/>
    <mergeCell ref="H46:L46"/>
    <mergeCell ref="T46:X46"/>
    <mergeCell ref="H47:L47"/>
    <mergeCell ref="T47:X47"/>
    <mergeCell ref="H48:L48"/>
    <mergeCell ref="T48:X48"/>
    <mergeCell ref="H50:L50"/>
    <mergeCell ref="T50:X50"/>
    <mergeCell ref="H54:L54"/>
    <mergeCell ref="T54:X54"/>
    <mergeCell ref="H51:L51"/>
    <mergeCell ref="T51:X51"/>
    <mergeCell ref="H52:L52"/>
    <mergeCell ref="T52:X52"/>
    <mergeCell ref="B61:X61"/>
    <mergeCell ref="B64:X64"/>
    <mergeCell ref="A65:A69"/>
    <mergeCell ref="H55:L55"/>
    <mergeCell ref="H56:L56"/>
    <mergeCell ref="H57:L57"/>
    <mergeCell ref="B59:L60"/>
    <mergeCell ref="A22:A64"/>
    <mergeCell ref="H53:L53"/>
    <mergeCell ref="T53:X53"/>
  </mergeCells>
  <printOptions horizontalCentered="1"/>
  <pageMargins left="0.36" right="0.63" top="0.4" bottom="1" header="0.34" footer="0.5"/>
  <pageSetup horizontalDpi="300" verticalDpi="300" orientation="portrait" paperSize="5" r:id="rId2"/>
  <drawing r:id="rId1"/>
</worksheet>
</file>

<file path=xl/worksheets/sheet8.xml><?xml version="1.0" encoding="utf-8"?>
<worksheet xmlns="http://schemas.openxmlformats.org/spreadsheetml/2006/main" xmlns:r="http://schemas.openxmlformats.org/officeDocument/2006/relationships">
  <sheetPr codeName="Sheet8"/>
  <dimension ref="A1:V63"/>
  <sheetViews>
    <sheetView showZeros="0" zoomScalePageLayoutView="0" workbookViewId="0" topLeftCell="A1">
      <selection activeCell="I8" sqref="I8"/>
    </sheetView>
  </sheetViews>
  <sheetFormatPr defaultColWidth="9.140625" defaultRowHeight="12.75"/>
  <cols>
    <col min="1" max="1" width="11.57421875" style="9" customWidth="1"/>
    <col min="2" max="2" width="5.57421875" style="78" bestFit="1" customWidth="1"/>
    <col min="3" max="3" width="7.8515625" style="9" customWidth="1"/>
    <col min="4" max="4" width="8.57421875" style="9" customWidth="1"/>
    <col min="5" max="6" width="6.7109375" style="9" customWidth="1"/>
    <col min="7" max="7" width="5.28125" style="9" customWidth="1"/>
    <col min="8" max="9" width="5.140625" style="9" customWidth="1"/>
    <col min="10" max="10" width="7.7109375" style="9" customWidth="1"/>
    <col min="11" max="11" width="10.00390625" style="9" customWidth="1"/>
    <col min="12" max="12" width="8.7109375" style="9" bestFit="1" customWidth="1"/>
    <col min="13" max="13" width="8.00390625" style="9" customWidth="1"/>
    <col min="14" max="14" width="8.7109375" style="9" bestFit="1" customWidth="1"/>
    <col min="15" max="17" width="6.8515625" style="9" customWidth="1"/>
    <col min="18" max="18" width="9.57421875" style="9" customWidth="1"/>
    <col min="19" max="20" width="7.57421875" style="9" customWidth="1"/>
    <col min="21" max="21" width="7.00390625" style="9" customWidth="1"/>
    <col min="22" max="22" width="7.140625" style="9" customWidth="1"/>
    <col min="23" max="16384" width="9.140625" style="9" customWidth="1"/>
  </cols>
  <sheetData>
    <row r="1" spans="1:22" ht="18" customHeight="1">
      <c r="A1" s="814" t="str">
        <f>CONCATENATE("PRC-08 ARREAR OF"," ",'WORK SHEET'!E2," ,",'WORK SHEET'!E55,", ",'WORK SHEET'!E3,", ",'WORK SHEET'!E4,", ",'WORK SHEET'!E5,", MANDAL"," FROM 01-07-2008 To")</f>
        <v>PRC-08 ARREAR OF P.BRAMHANANDA REDDY ,, MPPS,, CHAKRAYAPALEM, ADDANKI, MANDAL FROM 01-07-2008 To</v>
      </c>
      <c r="B1" s="814"/>
      <c r="C1" s="814"/>
      <c r="D1" s="814"/>
      <c r="E1" s="814"/>
      <c r="F1" s="814"/>
      <c r="G1" s="814"/>
      <c r="H1" s="814"/>
      <c r="I1" s="814"/>
      <c r="J1" s="814"/>
      <c r="K1" s="814"/>
      <c r="L1" s="814"/>
      <c r="M1" s="814"/>
      <c r="N1" s="814"/>
      <c r="O1" s="814"/>
      <c r="P1" s="814"/>
      <c r="Q1" s="814"/>
      <c r="R1" s="814"/>
      <c r="S1" s="814"/>
      <c r="T1" s="814"/>
      <c r="U1" s="813">
        <f>'BILL-P.F &amp; CASH'!P17</f>
        <v>40817.01</v>
      </c>
      <c r="V1" s="813"/>
    </row>
    <row r="2" spans="1:21" ht="15.75">
      <c r="A2" s="355"/>
      <c r="B2" s="355"/>
      <c r="C2" s="355"/>
      <c r="D2" s="355"/>
      <c r="E2" s="355"/>
      <c r="F2" s="355"/>
      <c r="G2" s="355"/>
      <c r="H2" s="355"/>
      <c r="I2" s="355"/>
      <c r="J2" s="355"/>
      <c r="K2" s="355"/>
      <c r="L2" s="355"/>
      <c r="M2" s="355"/>
      <c r="N2" s="355"/>
      <c r="O2" s="355"/>
      <c r="P2" s="355"/>
      <c r="Q2" s="355"/>
      <c r="R2" s="355"/>
      <c r="S2" s="355"/>
      <c r="T2" s="355"/>
      <c r="U2" s="355"/>
    </row>
    <row r="3" spans="1:22" s="78" customFormat="1" ht="55.5" customHeight="1">
      <c r="A3" s="103"/>
      <c r="B3" s="103" t="s">
        <v>140</v>
      </c>
      <c r="C3" s="562" t="s">
        <v>192</v>
      </c>
      <c r="D3" s="563"/>
      <c r="E3" s="563"/>
      <c r="F3" s="563"/>
      <c r="G3" s="563"/>
      <c r="H3" s="563"/>
      <c r="I3" s="563"/>
      <c r="J3" s="662"/>
      <c r="K3" s="103" t="s">
        <v>117</v>
      </c>
      <c r="L3" s="103" t="s">
        <v>161</v>
      </c>
      <c r="M3" s="103" t="s">
        <v>193</v>
      </c>
      <c r="N3" s="103" t="s">
        <v>206</v>
      </c>
      <c r="O3" s="103">
        <f>G7</f>
        <v>0</v>
      </c>
      <c r="P3" s="103">
        <f>H7</f>
        <v>0</v>
      </c>
      <c r="Q3" s="103">
        <f>I7</f>
        <v>0</v>
      </c>
      <c r="R3" s="10" t="s">
        <v>195</v>
      </c>
      <c r="S3" s="332" t="s">
        <v>457</v>
      </c>
      <c r="T3" s="332" t="s">
        <v>197</v>
      </c>
      <c r="U3" s="338" t="s">
        <v>198</v>
      </c>
      <c r="V3" s="334" t="s">
        <v>456</v>
      </c>
    </row>
    <row r="4" spans="1:22" s="344" customFormat="1" ht="12.75">
      <c r="A4" s="343"/>
      <c r="B4" s="343">
        <v>1</v>
      </c>
      <c r="C4" s="830">
        <v>2</v>
      </c>
      <c r="D4" s="643"/>
      <c r="E4" s="643"/>
      <c r="F4" s="643"/>
      <c r="G4" s="643"/>
      <c r="H4" s="643"/>
      <c r="I4" s="643"/>
      <c r="J4" s="831"/>
      <c r="K4" s="343">
        <v>3</v>
      </c>
      <c r="L4" s="343">
        <v>4</v>
      </c>
      <c r="M4" s="343">
        <v>5</v>
      </c>
      <c r="N4" s="343">
        <v>6</v>
      </c>
      <c r="O4" s="343">
        <v>7</v>
      </c>
      <c r="P4" s="343">
        <v>8</v>
      </c>
      <c r="Q4" s="343">
        <v>9</v>
      </c>
      <c r="R4" s="343">
        <v>10</v>
      </c>
      <c r="S4" s="343">
        <v>11</v>
      </c>
      <c r="T4" s="343">
        <v>12</v>
      </c>
      <c r="U4" s="333">
        <v>13</v>
      </c>
      <c r="V4" s="333">
        <v>14</v>
      </c>
    </row>
    <row r="5" spans="1:22" ht="15.75">
      <c r="A5" s="304" t="str">
        <f>'WORK SHEET'!E7</f>
        <v>0718386</v>
      </c>
      <c r="B5" s="249">
        <v>1</v>
      </c>
      <c r="C5" s="251" t="str">
        <f>'WORK SHEET'!E2</f>
        <v>P.BRAMHANANDA REDDY</v>
      </c>
      <c r="D5" s="250"/>
      <c r="E5" s="66"/>
      <c r="F5" s="227"/>
      <c r="G5" s="227"/>
      <c r="H5" s="227"/>
      <c r="I5" s="252">
        <f>'WORK SHEET'!E55</f>
        <v>0</v>
      </c>
      <c r="J5" s="208"/>
      <c r="K5" s="355" t="s">
        <v>458</v>
      </c>
      <c r="L5" s="248"/>
      <c r="M5" s="248"/>
      <c r="N5" s="248"/>
      <c r="O5" s="248"/>
      <c r="P5" s="248"/>
      <c r="Q5" s="248"/>
      <c r="R5" s="248"/>
      <c r="S5" s="248"/>
      <c r="T5" s="248"/>
      <c r="U5" s="340"/>
      <c r="V5" s="342"/>
    </row>
    <row r="6" spans="1:22" ht="15">
      <c r="A6" s="304"/>
      <c r="B6" s="249"/>
      <c r="C6" s="810" t="e">
        <f>PROCEEDINGS!#REF!</f>
        <v>#REF!</v>
      </c>
      <c r="D6" s="811"/>
      <c r="E6" s="811"/>
      <c r="F6" s="811"/>
      <c r="G6" s="811"/>
      <c r="H6" s="811"/>
      <c r="I6" s="811"/>
      <c r="J6" s="812"/>
      <c r="K6" s="248"/>
      <c r="L6" s="248"/>
      <c r="M6" s="248"/>
      <c r="N6" s="248"/>
      <c r="O6" s="248"/>
      <c r="P6" s="248"/>
      <c r="Q6" s="248"/>
      <c r="R6" s="248"/>
      <c r="S6" s="248"/>
      <c r="T6" s="248"/>
      <c r="U6" s="131"/>
      <c r="V6" s="131"/>
    </row>
    <row r="7" spans="1:22" s="78" customFormat="1" ht="12.75">
      <c r="A7" s="249"/>
      <c r="B7" s="249"/>
      <c r="C7" s="351" t="s">
        <v>200</v>
      </c>
      <c r="D7" s="351" t="s">
        <v>201</v>
      </c>
      <c r="E7" s="351" t="s">
        <v>202</v>
      </c>
      <c r="F7" s="351" t="s">
        <v>206</v>
      </c>
      <c r="G7" s="351"/>
      <c r="H7" s="351"/>
      <c r="I7" s="351"/>
      <c r="J7" s="351" t="s">
        <v>148</v>
      </c>
      <c r="K7" s="249"/>
      <c r="L7" s="249"/>
      <c r="M7" s="249"/>
      <c r="N7" s="249"/>
      <c r="O7" s="249"/>
      <c r="P7" s="249"/>
      <c r="Q7" s="249"/>
      <c r="R7" s="249"/>
      <c r="S7" s="249"/>
      <c r="T7" s="249"/>
      <c r="U7" s="131"/>
      <c r="V7" s="131"/>
    </row>
    <row r="8" spans="1:22" s="25" customFormat="1" ht="12.75">
      <c r="A8" s="253" t="str">
        <f>CONCATENATE('WORK SHEET'!L202,"%")</f>
        <v>%</v>
      </c>
      <c r="B8" s="334" t="s">
        <v>203</v>
      </c>
      <c r="C8" s="247">
        <f>'WORK SHEET'!E202</f>
        <v>0</v>
      </c>
      <c r="D8" s="247" t="e">
        <f>ROUND(C8*A8,0)</f>
        <v>#VALUE!</v>
      </c>
      <c r="E8" s="247">
        <f>ROUND(C8*'WORK SHEET'!N182/100,0)</f>
        <v>0</v>
      </c>
      <c r="F8" s="247">
        <v>0</v>
      </c>
      <c r="G8" s="247"/>
      <c r="H8" s="247"/>
      <c r="I8" s="247"/>
      <c r="J8" s="247" t="e">
        <f>SUM(C8:I8)</f>
        <v>#VALUE!</v>
      </c>
      <c r="K8" s="247"/>
      <c r="L8" s="247"/>
      <c r="M8" s="247"/>
      <c r="N8" s="247"/>
      <c r="O8" s="247"/>
      <c r="P8" s="247"/>
      <c r="Q8" s="247"/>
      <c r="R8" s="247"/>
      <c r="S8" s="247"/>
      <c r="T8" s="247"/>
      <c r="U8" s="348"/>
      <c r="V8" s="348"/>
    </row>
    <row r="9" spans="1:22" s="25" customFormat="1" ht="12.75">
      <c r="A9" s="253" t="str">
        <f>CONCATENATE('WORK SHEET'!K202,"%")</f>
        <v>%</v>
      </c>
      <c r="B9" s="334" t="s">
        <v>204</v>
      </c>
      <c r="C9" s="247">
        <f>'WORK SHEET'!M202</f>
        <v>0</v>
      </c>
      <c r="D9" s="247" t="e">
        <f>ROUND(C9*A9,0)</f>
        <v>#VALUE!</v>
      </c>
      <c r="E9" s="247">
        <f>ROUND(C9*'WORK SHEET'!N182/100,0)</f>
        <v>0</v>
      </c>
      <c r="F9" s="247">
        <f>ROUND(C9*IF(D11&lt;39722,0,IF(D11&lt;39814,15,22))/100,0)</f>
        <v>0</v>
      </c>
      <c r="G9" s="247"/>
      <c r="H9" s="247"/>
      <c r="I9" s="247"/>
      <c r="J9" s="247" t="e">
        <f>SUM(C9:I9)</f>
        <v>#VALUE!</v>
      </c>
      <c r="K9" s="247"/>
      <c r="L9" s="247"/>
      <c r="M9" s="247"/>
      <c r="N9" s="247"/>
      <c r="O9" s="247"/>
      <c r="P9" s="247"/>
      <c r="Q9" s="247"/>
      <c r="R9" s="247"/>
      <c r="S9" s="247"/>
      <c r="T9" s="247"/>
      <c r="U9" s="138"/>
      <c r="V9" s="138"/>
    </row>
    <row r="10" spans="1:22" s="25" customFormat="1" ht="12.75">
      <c r="A10" s="247" t="str">
        <f>CONCATENATE("HRA ",'WORK SHEET'!J202,"%")</f>
        <v>HRA %</v>
      </c>
      <c r="B10" s="334" t="s">
        <v>205</v>
      </c>
      <c r="C10" s="247">
        <f>C8-C9</f>
        <v>0</v>
      </c>
      <c r="D10" s="247" t="e">
        <f>D8-D9</f>
        <v>#VALUE!</v>
      </c>
      <c r="E10" s="247">
        <f>E8-E9</f>
        <v>0</v>
      </c>
      <c r="F10" s="247">
        <f>F8-F9</f>
        <v>0</v>
      </c>
      <c r="G10" s="247"/>
      <c r="H10" s="247"/>
      <c r="I10" s="247"/>
      <c r="J10" s="247" t="e">
        <f>J8-J9</f>
        <v>#VALUE!</v>
      </c>
      <c r="K10" s="247"/>
      <c r="L10" s="247"/>
      <c r="M10" s="247"/>
      <c r="N10" s="247"/>
      <c r="O10" s="247"/>
      <c r="P10" s="247"/>
      <c r="Q10" s="247"/>
      <c r="R10" s="247"/>
      <c r="S10" s="247"/>
      <c r="T10" s="247"/>
      <c r="U10" s="138"/>
      <c r="V10" s="138"/>
    </row>
    <row r="11" spans="1:22" s="262" customFormat="1" ht="15" customHeight="1">
      <c r="A11" s="302">
        <f>'WORK SHEET'!D202</f>
        <v>0</v>
      </c>
      <c r="B11" s="822" t="s">
        <v>209</v>
      </c>
      <c r="C11" s="823"/>
      <c r="D11" s="256">
        <f>'WORK SHEET'!C202</f>
        <v>0</v>
      </c>
      <c r="E11" s="257" t="s">
        <v>1</v>
      </c>
      <c r="F11" s="815">
        <f>'WORK SHEET'!F202</f>
        <v>0</v>
      </c>
      <c r="G11" s="816"/>
      <c r="H11" s="820" t="s">
        <v>434</v>
      </c>
      <c r="I11" s="821"/>
      <c r="J11" s="261">
        <f>'WORK SHEET'!I202</f>
        <v>0</v>
      </c>
      <c r="K11" s="261">
        <f>ROUND(C10*J11,0)</f>
        <v>0</v>
      </c>
      <c r="L11" s="261" t="e">
        <f>ROUND(D10*J11,0)</f>
        <v>#VALUE!</v>
      </c>
      <c r="M11" s="261">
        <f>ROUND(E10*J11,0)</f>
        <v>0</v>
      </c>
      <c r="N11" s="261">
        <f>ROUND(F10*J11,0)</f>
        <v>0</v>
      </c>
      <c r="O11" s="261" t="str">
        <f>IF('WORK SHEET'!D95=0," ",ROUND(G10*J11,0))</f>
        <v> </v>
      </c>
      <c r="P11" s="261" t="str">
        <f>IF('WORK SHEET'!D96=0," ",ROUND(H10*J11,0))</f>
        <v> </v>
      </c>
      <c r="Q11" s="261" t="str">
        <f>IF('WORK SHEET'!D97=0," ",ROUND(I10*J11,0))</f>
        <v> </v>
      </c>
      <c r="R11" s="261" t="e">
        <f>SUM(K11:Q11)</f>
        <v>#VALUE!</v>
      </c>
      <c r="S11" s="261"/>
      <c r="T11" s="261"/>
      <c r="U11" s="138"/>
      <c r="V11" s="138"/>
    </row>
    <row r="12" spans="1:22" s="262" customFormat="1" ht="12.75">
      <c r="A12" s="263" t="str">
        <f>CONCATENATE('WORK SHEET'!L203,"%")</f>
        <v>%</v>
      </c>
      <c r="B12" s="349" t="s">
        <v>203</v>
      </c>
      <c r="C12" s="261">
        <f>'WORK SHEET'!E203</f>
        <v>0</v>
      </c>
      <c r="D12" s="261" t="e">
        <f>ROUND(C12*A12,0)</f>
        <v>#VALUE!</v>
      </c>
      <c r="E12" s="261">
        <f>ROUND(C12*'WORK SHEET'!N183/100,0)</f>
        <v>0</v>
      </c>
      <c r="F12" s="261">
        <v>0</v>
      </c>
      <c r="G12" s="261"/>
      <c r="H12" s="261"/>
      <c r="I12" s="261"/>
      <c r="J12" s="261" t="e">
        <f>SUM(C12:I12)</f>
        <v>#VALUE!</v>
      </c>
      <c r="K12" s="261"/>
      <c r="L12" s="261"/>
      <c r="M12" s="261"/>
      <c r="N12" s="261"/>
      <c r="O12" s="261"/>
      <c r="P12" s="261"/>
      <c r="Q12" s="261"/>
      <c r="R12" s="261"/>
      <c r="S12" s="261"/>
      <c r="T12" s="261"/>
      <c r="U12" s="241"/>
      <c r="V12" s="241"/>
    </row>
    <row r="13" spans="1:22" s="262" customFormat="1" ht="12.75">
      <c r="A13" s="263" t="str">
        <f>CONCATENATE('WORK SHEET'!K203,"%")</f>
        <v>%</v>
      </c>
      <c r="B13" s="349" t="s">
        <v>204</v>
      </c>
      <c r="C13" s="261">
        <f>'WORK SHEET'!M203</f>
        <v>0</v>
      </c>
      <c r="D13" s="261" t="e">
        <f>ROUND(C13*A13,0)</f>
        <v>#VALUE!</v>
      </c>
      <c r="E13" s="261">
        <f>ROUND(C13*'WORK SHEET'!N183/100,0)</f>
        <v>0</v>
      </c>
      <c r="F13" s="261">
        <f>ROUND(C13*IF(D15&lt;39722,0,IF(D15&lt;39814,15,22))/100,0)</f>
        <v>0</v>
      </c>
      <c r="G13" s="261"/>
      <c r="H13" s="261"/>
      <c r="I13" s="261"/>
      <c r="J13" s="261" t="e">
        <f>SUM(C13:I13)</f>
        <v>#VALUE!</v>
      </c>
      <c r="K13" s="261"/>
      <c r="L13" s="261"/>
      <c r="M13" s="261"/>
      <c r="N13" s="261"/>
      <c r="O13" s="261"/>
      <c r="P13" s="261"/>
      <c r="Q13" s="261"/>
      <c r="R13" s="261"/>
      <c r="S13" s="261"/>
      <c r="T13" s="261"/>
      <c r="U13" s="241"/>
      <c r="V13" s="241"/>
    </row>
    <row r="14" spans="1:22" s="262" customFormat="1" ht="12.75">
      <c r="A14" s="261" t="str">
        <f>CONCATENATE("HRA ",'WORK SHEET'!J203,"%")</f>
        <v>HRA %</v>
      </c>
      <c r="B14" s="349" t="s">
        <v>205</v>
      </c>
      <c r="C14" s="261">
        <f>C12-C13</f>
        <v>0</v>
      </c>
      <c r="D14" s="261" t="e">
        <f>D12-D13</f>
        <v>#VALUE!</v>
      </c>
      <c r="E14" s="261">
        <f>E12-E13</f>
        <v>0</v>
      </c>
      <c r="F14" s="261">
        <f>F12-F13</f>
        <v>0</v>
      </c>
      <c r="G14" s="261"/>
      <c r="H14" s="261"/>
      <c r="I14" s="261"/>
      <c r="J14" s="261" t="e">
        <f>J12-J13</f>
        <v>#VALUE!</v>
      </c>
      <c r="K14" s="261"/>
      <c r="L14" s="261"/>
      <c r="M14" s="261"/>
      <c r="N14" s="261"/>
      <c r="O14" s="261"/>
      <c r="P14" s="261"/>
      <c r="Q14" s="261"/>
      <c r="R14" s="261"/>
      <c r="S14" s="261"/>
      <c r="T14" s="261"/>
      <c r="U14" s="241"/>
      <c r="V14" s="241"/>
    </row>
    <row r="15" spans="1:22" s="262" customFormat="1" ht="12.75">
      <c r="A15" s="302">
        <f>'WORK SHEET'!D203</f>
        <v>0</v>
      </c>
      <c r="B15" s="822" t="s">
        <v>209</v>
      </c>
      <c r="C15" s="823"/>
      <c r="D15" s="256">
        <f>'WORK SHEET'!C203</f>
        <v>0</v>
      </c>
      <c r="E15" s="257" t="s">
        <v>1</v>
      </c>
      <c r="F15" s="815">
        <f>'WORK SHEET'!F203</f>
        <v>0</v>
      </c>
      <c r="G15" s="816"/>
      <c r="H15" s="820" t="s">
        <v>434</v>
      </c>
      <c r="I15" s="821"/>
      <c r="J15" s="261">
        <f>'WORK SHEET'!I203</f>
        <v>0</v>
      </c>
      <c r="K15" s="261">
        <f>ROUND(C14*J15,0)</f>
        <v>0</v>
      </c>
      <c r="L15" s="261" t="e">
        <f>ROUND(D14*J15,0)</f>
        <v>#VALUE!</v>
      </c>
      <c r="M15" s="261">
        <f>ROUND(E14*J15,0)</f>
        <v>0</v>
      </c>
      <c r="N15" s="261">
        <f>ROUND(F14*J15,0)</f>
        <v>0</v>
      </c>
      <c r="O15" s="261" t="str">
        <f>IF('WORK SHEET'!D95=0," ",ROUND(G10*J15,0))</f>
        <v> </v>
      </c>
      <c r="P15" s="261" t="str">
        <f>IF('WORK SHEET'!D96=0," ",ROUND(H10*J15,0))</f>
        <v> </v>
      </c>
      <c r="Q15" s="261" t="str">
        <f>IF('WORK SHEET'!D97=0," ",ROUND(I10*J15,0))</f>
        <v> </v>
      </c>
      <c r="R15" s="261" t="e">
        <f>SUM(K15:Q15)</f>
        <v>#VALUE!</v>
      </c>
      <c r="S15" s="261"/>
      <c r="T15" s="261"/>
      <c r="U15" s="241"/>
      <c r="V15" s="241"/>
    </row>
    <row r="16" spans="1:22" s="262" customFormat="1" ht="12.75">
      <c r="A16" s="263" t="str">
        <f>CONCATENATE('WORK SHEET'!L204,"%")</f>
        <v>%</v>
      </c>
      <c r="B16" s="349" t="s">
        <v>203</v>
      </c>
      <c r="C16" s="261">
        <f>'WORK SHEET'!E204</f>
        <v>0</v>
      </c>
      <c r="D16" s="261" t="e">
        <f>ROUND(C16*A16,0)</f>
        <v>#VALUE!</v>
      </c>
      <c r="E16" s="261">
        <f>ROUND(C16*'WORK SHEET'!N184/100,0)</f>
        <v>0</v>
      </c>
      <c r="F16" s="261">
        <v>0</v>
      </c>
      <c r="G16" s="261"/>
      <c r="H16" s="261"/>
      <c r="I16" s="261"/>
      <c r="J16" s="261" t="e">
        <f>SUM(C16:I16)</f>
        <v>#VALUE!</v>
      </c>
      <c r="K16" s="261"/>
      <c r="L16" s="261"/>
      <c r="M16" s="261"/>
      <c r="N16" s="261"/>
      <c r="O16" s="261"/>
      <c r="P16" s="261"/>
      <c r="Q16" s="261"/>
      <c r="R16" s="261"/>
      <c r="S16" s="261"/>
      <c r="T16" s="261"/>
      <c r="U16" s="241"/>
      <c r="V16" s="241"/>
    </row>
    <row r="17" spans="1:22" s="262" customFormat="1" ht="12.75">
      <c r="A17" s="263" t="str">
        <f>CONCATENATE('WORK SHEET'!K204,"%")</f>
        <v>%</v>
      </c>
      <c r="B17" s="349" t="s">
        <v>204</v>
      </c>
      <c r="C17" s="261">
        <f>'WORK SHEET'!M204</f>
        <v>0</v>
      </c>
      <c r="D17" s="261" t="e">
        <f>ROUND(C17*A17,0)</f>
        <v>#VALUE!</v>
      </c>
      <c r="E17" s="261">
        <f>ROUND(C17*'WORK SHEET'!N184/100,0)</f>
        <v>0</v>
      </c>
      <c r="F17" s="261">
        <f>ROUND(C17*IF(D19&lt;39722,0,IF(D19&lt;39814,15,22))/100,0)</f>
        <v>0</v>
      </c>
      <c r="G17" s="261"/>
      <c r="H17" s="261"/>
      <c r="I17" s="261"/>
      <c r="J17" s="261" t="e">
        <f>SUM(C17:I17)</f>
        <v>#VALUE!</v>
      </c>
      <c r="K17" s="261"/>
      <c r="L17" s="261"/>
      <c r="M17" s="261"/>
      <c r="N17" s="261"/>
      <c r="O17" s="261"/>
      <c r="P17" s="261"/>
      <c r="Q17" s="261"/>
      <c r="R17" s="261"/>
      <c r="S17" s="261"/>
      <c r="T17" s="261"/>
      <c r="U17" s="278"/>
      <c r="V17" s="278"/>
    </row>
    <row r="18" spans="1:22" s="262" customFormat="1" ht="15">
      <c r="A18" s="261" t="str">
        <f>CONCATENATE("HRA ",'WORK SHEET'!J204,"%")</f>
        <v>HRA %</v>
      </c>
      <c r="B18" s="349" t="s">
        <v>205</v>
      </c>
      <c r="C18" s="261">
        <f>C16-C17</f>
        <v>0</v>
      </c>
      <c r="D18" s="261" t="e">
        <f>D16-D17</f>
        <v>#VALUE!</v>
      </c>
      <c r="E18" s="261">
        <f>E16-E17</f>
        <v>0</v>
      </c>
      <c r="F18" s="261">
        <f>F16-F17</f>
        <v>0</v>
      </c>
      <c r="G18" s="261"/>
      <c r="H18" s="261"/>
      <c r="I18" s="261"/>
      <c r="J18" s="261" t="e">
        <f>J16-J17</f>
        <v>#VALUE!</v>
      </c>
      <c r="K18" s="261"/>
      <c r="L18" s="261"/>
      <c r="M18" s="261"/>
      <c r="N18" s="261"/>
      <c r="O18" s="261"/>
      <c r="P18" s="261"/>
      <c r="Q18" s="261"/>
      <c r="R18" s="261"/>
      <c r="S18" s="261"/>
      <c r="T18" s="261"/>
      <c r="U18" s="353"/>
      <c r="V18" s="353"/>
    </row>
    <row r="19" spans="1:22" s="262" customFormat="1" ht="12.75">
      <c r="A19" s="302">
        <f>'WORK SHEET'!D204</f>
        <v>0</v>
      </c>
      <c r="B19" s="822" t="s">
        <v>209</v>
      </c>
      <c r="C19" s="823"/>
      <c r="D19" s="256">
        <f>'WORK SHEET'!C204</f>
        <v>0</v>
      </c>
      <c r="E19" s="257" t="s">
        <v>1</v>
      </c>
      <c r="F19" s="815">
        <f>'WORK SHEET'!F204</f>
        <v>0</v>
      </c>
      <c r="G19" s="816"/>
      <c r="H19" s="820" t="s">
        <v>434</v>
      </c>
      <c r="I19" s="821"/>
      <c r="J19" s="261">
        <f>'WORK SHEET'!I204</f>
        <v>0</v>
      </c>
      <c r="K19" s="261">
        <f>ROUND(C18*J19,0)</f>
        <v>0</v>
      </c>
      <c r="L19" s="261" t="e">
        <f>ROUND(D18*J19,0)</f>
        <v>#VALUE!</v>
      </c>
      <c r="M19" s="261">
        <f>ROUND(E18*J19,0)</f>
        <v>0</v>
      </c>
      <c r="N19" s="261">
        <f>ROUND(F18*J19,0)</f>
        <v>0</v>
      </c>
      <c r="O19" s="261" t="str">
        <f>IF('WORK SHEET'!D95=0," ",ROUND(G10*J19,0))</f>
        <v> </v>
      </c>
      <c r="P19" s="261" t="str">
        <f>IF('WORK SHEET'!D96=0," ",ROUND(H10*J19,0))</f>
        <v> </v>
      </c>
      <c r="Q19" s="261" t="str">
        <f>IF('WORK SHEET'!D97=0," ",ROUND(I10*J19,0))</f>
        <v> </v>
      </c>
      <c r="R19" s="261" t="e">
        <f>SUM(K19:Q19)</f>
        <v>#VALUE!</v>
      </c>
      <c r="S19" s="261"/>
      <c r="T19" s="261"/>
      <c r="U19" s="138"/>
      <c r="V19" s="138"/>
    </row>
    <row r="20" spans="1:22" s="262" customFormat="1" ht="12.75">
      <c r="A20" s="263" t="str">
        <f>CONCATENATE('WORK SHEET'!L205,"%")</f>
        <v>%</v>
      </c>
      <c r="B20" s="349" t="s">
        <v>203</v>
      </c>
      <c r="C20" s="261">
        <f>'WORK SHEET'!E205</f>
        <v>0</v>
      </c>
      <c r="D20" s="261" t="e">
        <f>ROUND(C20*A20,0)</f>
        <v>#VALUE!</v>
      </c>
      <c r="E20" s="261">
        <f>ROUND(C20*'WORK SHEET'!N185/100,0)</f>
        <v>0</v>
      </c>
      <c r="F20" s="261">
        <v>0</v>
      </c>
      <c r="G20" s="261"/>
      <c r="H20" s="261"/>
      <c r="I20" s="261"/>
      <c r="J20" s="261" t="e">
        <f>SUM(C20:I20)</f>
        <v>#VALUE!</v>
      </c>
      <c r="K20" s="261"/>
      <c r="L20" s="261"/>
      <c r="M20" s="261"/>
      <c r="N20" s="261"/>
      <c r="O20" s="261"/>
      <c r="P20" s="261"/>
      <c r="Q20" s="261"/>
      <c r="R20" s="261"/>
      <c r="S20" s="261"/>
      <c r="T20" s="261"/>
      <c r="U20" s="138"/>
      <c r="V20" s="138"/>
    </row>
    <row r="21" spans="1:22" s="262" customFormat="1" ht="12.75">
      <c r="A21" s="263" t="str">
        <f>CONCATENATE('WORK SHEET'!K205,"%")</f>
        <v>%</v>
      </c>
      <c r="B21" s="349" t="s">
        <v>204</v>
      </c>
      <c r="C21" s="261">
        <f>'WORK SHEET'!M205</f>
        <v>0</v>
      </c>
      <c r="D21" s="261" t="e">
        <f>ROUND(C21*A21,0)</f>
        <v>#VALUE!</v>
      </c>
      <c r="E21" s="261">
        <f>ROUND(C21*'WORK SHEET'!N185/100,0)</f>
        <v>0</v>
      </c>
      <c r="F21" s="261">
        <f>ROUND(C21*IF(D23&lt;39722,0,IF(D23&lt;39814,15,22))/100,0)</f>
        <v>0</v>
      </c>
      <c r="G21" s="261"/>
      <c r="H21" s="261"/>
      <c r="I21" s="261"/>
      <c r="J21" s="261" t="e">
        <f>SUM(C21:I21)</f>
        <v>#VALUE!</v>
      </c>
      <c r="K21" s="261"/>
      <c r="L21" s="261"/>
      <c r="M21" s="261"/>
      <c r="N21" s="261"/>
      <c r="O21" s="261"/>
      <c r="P21" s="261"/>
      <c r="Q21" s="261"/>
      <c r="R21" s="261"/>
      <c r="S21" s="261"/>
      <c r="T21" s="261"/>
      <c r="U21" s="138"/>
      <c r="V21" s="138"/>
    </row>
    <row r="22" spans="1:22" s="262" customFormat="1" ht="12.75">
      <c r="A22" s="261" t="str">
        <f>CONCATENATE("HRA ",'WORK SHEET'!J205,"%")</f>
        <v>HRA %</v>
      </c>
      <c r="B22" s="349" t="s">
        <v>205</v>
      </c>
      <c r="C22" s="261">
        <f>C20-C21</f>
        <v>0</v>
      </c>
      <c r="D22" s="261" t="e">
        <f>D20-D21</f>
        <v>#VALUE!</v>
      </c>
      <c r="E22" s="261">
        <f>E20-E21</f>
        <v>0</v>
      </c>
      <c r="F22" s="261">
        <f>F20-F21</f>
        <v>0</v>
      </c>
      <c r="G22" s="261"/>
      <c r="H22" s="261"/>
      <c r="I22" s="261"/>
      <c r="J22" s="261" t="e">
        <f>J20-J21</f>
        <v>#VALUE!</v>
      </c>
      <c r="K22" s="261"/>
      <c r="L22" s="261"/>
      <c r="M22" s="261"/>
      <c r="N22" s="261"/>
      <c r="O22" s="261"/>
      <c r="P22" s="261"/>
      <c r="Q22" s="261"/>
      <c r="R22" s="261"/>
      <c r="S22" s="261"/>
      <c r="T22" s="261"/>
      <c r="U22" s="138"/>
      <c r="V22" s="138"/>
    </row>
    <row r="23" spans="1:22" s="262" customFormat="1" ht="12.75">
      <c r="A23" s="302">
        <f>'WORK SHEET'!D205</f>
        <v>0</v>
      </c>
      <c r="B23" s="822" t="s">
        <v>209</v>
      </c>
      <c r="C23" s="823"/>
      <c r="D23" s="256">
        <f>'WORK SHEET'!C205</f>
        <v>0</v>
      </c>
      <c r="E23" s="257" t="s">
        <v>1</v>
      </c>
      <c r="F23" s="815">
        <f>'WORK SHEET'!F205</f>
        <v>0</v>
      </c>
      <c r="G23" s="816"/>
      <c r="H23" s="820" t="s">
        <v>434</v>
      </c>
      <c r="I23" s="821"/>
      <c r="J23" s="261">
        <f>'WORK SHEET'!I205</f>
        <v>0</v>
      </c>
      <c r="K23" s="261">
        <f>ROUND(C22*J23,0)</f>
        <v>0</v>
      </c>
      <c r="L23" s="261" t="e">
        <f>ROUND(D22*J23,0)</f>
        <v>#VALUE!</v>
      </c>
      <c r="M23" s="261">
        <f>ROUND(E22*J23,0)</f>
        <v>0</v>
      </c>
      <c r="N23" s="261">
        <f>ROUND(F22*J23,0)</f>
        <v>0</v>
      </c>
      <c r="O23" s="261" t="str">
        <f>IF('WORK SHEET'!D95=0," ",ROUND(G10*J23,0))</f>
        <v> </v>
      </c>
      <c r="P23" s="261" t="str">
        <f>IF('WORK SHEET'!D96=0," ",ROUND(H10*J23,0))</f>
        <v> </v>
      </c>
      <c r="Q23" s="261" t="str">
        <f>IF('WORK SHEET'!D97=0," ",ROUND(I10*J23,0))</f>
        <v> </v>
      </c>
      <c r="R23" s="261" t="e">
        <f>SUM(K23:Q23)</f>
        <v>#VALUE!</v>
      </c>
      <c r="S23" s="261"/>
      <c r="T23" s="261"/>
      <c r="U23" s="241"/>
      <c r="V23" s="241"/>
    </row>
    <row r="24" spans="1:22" s="262" customFormat="1" ht="12.75">
      <c r="A24" s="263" t="str">
        <f>CONCATENATE('WORK SHEET'!L206,"%")</f>
        <v>%</v>
      </c>
      <c r="B24" s="349" t="s">
        <v>203</v>
      </c>
      <c r="C24" s="261">
        <f>'WORK SHEET'!E206</f>
        <v>0</v>
      </c>
      <c r="D24" s="261" t="e">
        <f>ROUND(C24*A24,0)</f>
        <v>#VALUE!</v>
      </c>
      <c r="E24" s="261">
        <f>ROUND(C24*'WORK SHEET'!N186/100,0)</f>
        <v>0</v>
      </c>
      <c r="F24" s="261">
        <v>0</v>
      </c>
      <c r="G24" s="261"/>
      <c r="H24" s="261"/>
      <c r="I24" s="261"/>
      <c r="J24" s="261" t="e">
        <f>SUM(C24:I24)</f>
        <v>#VALUE!</v>
      </c>
      <c r="K24" s="261"/>
      <c r="L24" s="261"/>
      <c r="M24" s="261"/>
      <c r="N24" s="261"/>
      <c r="O24" s="261"/>
      <c r="P24" s="261"/>
      <c r="Q24" s="261"/>
      <c r="R24" s="261"/>
      <c r="S24" s="261"/>
      <c r="T24" s="261"/>
      <c r="U24" s="241"/>
      <c r="V24" s="241"/>
    </row>
    <row r="25" spans="1:22" s="262" customFormat="1" ht="12.75">
      <c r="A25" s="263" t="str">
        <f>CONCATENATE('WORK SHEET'!K206,"%")</f>
        <v>%</v>
      </c>
      <c r="B25" s="349" t="s">
        <v>204</v>
      </c>
      <c r="C25" s="261">
        <f>'WORK SHEET'!M206</f>
        <v>0</v>
      </c>
      <c r="D25" s="261" t="e">
        <f>ROUND(C25*A25,0)</f>
        <v>#VALUE!</v>
      </c>
      <c r="E25" s="261">
        <f>ROUND(C25*'WORK SHEET'!N186/100,0)</f>
        <v>0</v>
      </c>
      <c r="F25" s="261">
        <f>ROUND(C25*IF(D27&lt;39722,0,IF(D27&lt;39814,15,22))/100,0)</f>
        <v>0</v>
      </c>
      <c r="G25" s="261"/>
      <c r="H25" s="261"/>
      <c r="I25" s="261"/>
      <c r="J25" s="261" t="e">
        <f>SUM(C25:I25)</f>
        <v>#VALUE!</v>
      </c>
      <c r="K25" s="261"/>
      <c r="L25" s="261"/>
      <c r="M25" s="261"/>
      <c r="N25" s="261"/>
      <c r="O25" s="261"/>
      <c r="P25" s="261"/>
      <c r="Q25" s="261"/>
      <c r="R25" s="261"/>
      <c r="S25" s="261"/>
      <c r="T25" s="261"/>
      <c r="U25" s="241"/>
      <c r="V25" s="241"/>
    </row>
    <row r="26" spans="1:22" s="262" customFormat="1" ht="12.75">
      <c r="A26" s="261" t="str">
        <f>CONCATENATE("HRA ",'WORK SHEET'!J206,"%")</f>
        <v>HRA %</v>
      </c>
      <c r="B26" s="349" t="s">
        <v>205</v>
      </c>
      <c r="C26" s="261">
        <f>C24-C25</f>
        <v>0</v>
      </c>
      <c r="D26" s="261" t="e">
        <f>D24-D25</f>
        <v>#VALUE!</v>
      </c>
      <c r="E26" s="261">
        <f>E24-E25</f>
        <v>0</v>
      </c>
      <c r="F26" s="261">
        <f>F24-F25</f>
        <v>0</v>
      </c>
      <c r="G26" s="261"/>
      <c r="H26" s="261"/>
      <c r="I26" s="261"/>
      <c r="J26" s="261" t="e">
        <f>J24-J25</f>
        <v>#VALUE!</v>
      </c>
      <c r="K26" s="261"/>
      <c r="L26" s="261"/>
      <c r="M26" s="261"/>
      <c r="N26" s="261"/>
      <c r="O26" s="261"/>
      <c r="P26" s="261"/>
      <c r="Q26" s="261"/>
      <c r="R26" s="261"/>
      <c r="S26" s="261"/>
      <c r="T26" s="261"/>
      <c r="U26" s="241"/>
      <c r="V26" s="241"/>
    </row>
    <row r="27" spans="1:22" s="262" customFormat="1" ht="12.75">
      <c r="A27" s="302">
        <f>'WORK SHEET'!D206</f>
        <v>0</v>
      </c>
      <c r="B27" s="822" t="s">
        <v>209</v>
      </c>
      <c r="C27" s="823"/>
      <c r="D27" s="256">
        <f>'WORK SHEET'!C206</f>
        <v>0</v>
      </c>
      <c r="E27" s="257" t="s">
        <v>1</v>
      </c>
      <c r="F27" s="815">
        <f>'WORK SHEET'!F206</f>
        <v>0</v>
      </c>
      <c r="G27" s="816"/>
      <c r="H27" s="820" t="s">
        <v>434</v>
      </c>
      <c r="I27" s="821"/>
      <c r="J27" s="261">
        <f>'WORK SHEET'!I206</f>
        <v>0</v>
      </c>
      <c r="K27" s="261">
        <f>ROUND(C26*J27,0)</f>
        <v>0</v>
      </c>
      <c r="L27" s="261" t="e">
        <f>ROUND(D26*J27,0)</f>
        <v>#VALUE!</v>
      </c>
      <c r="M27" s="261">
        <f>ROUND(E26*J27,0)</f>
        <v>0</v>
      </c>
      <c r="N27" s="261">
        <f>ROUND(F26*J27,0)</f>
        <v>0</v>
      </c>
      <c r="O27" s="261" t="str">
        <f>IF('WORK SHEET'!D95=0," ",ROUND(G10*J27,0))</f>
        <v> </v>
      </c>
      <c r="P27" s="261" t="str">
        <f>IF('WORK SHEET'!D96=0," ",ROUND(H10*J27,0))</f>
        <v> </v>
      </c>
      <c r="Q27" s="261" t="str">
        <f>IF('WORK SHEET'!D97=0," ",ROUND(I10*J27,0))</f>
        <v> </v>
      </c>
      <c r="R27" s="261" t="e">
        <f>SUM(K27:Q27)</f>
        <v>#VALUE!</v>
      </c>
      <c r="S27" s="261"/>
      <c r="T27" s="261"/>
      <c r="U27" s="241"/>
      <c r="V27" s="241"/>
    </row>
    <row r="28" spans="1:22" s="262" customFormat="1" ht="12.75">
      <c r="A28" s="263" t="str">
        <f>CONCATENATE('WORK SHEET'!L207,"%")</f>
        <v>%</v>
      </c>
      <c r="B28" s="349" t="s">
        <v>203</v>
      </c>
      <c r="C28" s="261">
        <f>'WORK SHEET'!E207</f>
        <v>0</v>
      </c>
      <c r="D28" s="261" t="e">
        <f>ROUND(C28*A28,0)</f>
        <v>#VALUE!</v>
      </c>
      <c r="E28" s="261">
        <f>ROUND(C28*'WORK SHEET'!N187/100,0)</f>
        <v>0</v>
      </c>
      <c r="F28" s="261">
        <v>0</v>
      </c>
      <c r="G28" s="261"/>
      <c r="H28" s="261"/>
      <c r="I28" s="261"/>
      <c r="J28" s="261" t="e">
        <f>SUM(C28:I28)</f>
        <v>#VALUE!</v>
      </c>
      <c r="K28" s="261"/>
      <c r="L28" s="261"/>
      <c r="M28" s="261"/>
      <c r="N28" s="261"/>
      <c r="O28" s="261"/>
      <c r="P28" s="261"/>
      <c r="Q28" s="261"/>
      <c r="R28" s="261"/>
      <c r="S28" s="261"/>
      <c r="T28" s="261"/>
      <c r="U28" s="278"/>
      <c r="V28" s="278"/>
    </row>
    <row r="29" spans="1:22" s="262" customFormat="1" ht="12.75">
      <c r="A29" s="263" t="str">
        <f>CONCATENATE('WORK SHEET'!K207,"%")</f>
        <v>%</v>
      </c>
      <c r="B29" s="349" t="s">
        <v>204</v>
      </c>
      <c r="C29" s="261">
        <f>'WORK SHEET'!M207</f>
        <v>0</v>
      </c>
      <c r="D29" s="261" t="e">
        <f>ROUND(C29*A29,0)</f>
        <v>#VALUE!</v>
      </c>
      <c r="E29" s="261">
        <f>ROUND(C29*'WORK SHEET'!N187/100,0)</f>
        <v>0</v>
      </c>
      <c r="F29" s="261">
        <f>ROUND(C29*IF(D31&lt;39722,0,IF(D31&lt;39814,15,22))/100,0)</f>
        <v>0</v>
      </c>
      <c r="G29" s="261"/>
      <c r="H29" s="261"/>
      <c r="I29" s="261"/>
      <c r="J29" s="261" t="e">
        <f>SUM(C29:I29)</f>
        <v>#VALUE!</v>
      </c>
      <c r="K29" s="261"/>
      <c r="L29" s="261"/>
      <c r="M29" s="261"/>
      <c r="N29" s="261"/>
      <c r="O29" s="261"/>
      <c r="P29" s="261"/>
      <c r="Q29" s="261"/>
      <c r="R29" s="261"/>
      <c r="S29" s="261"/>
      <c r="T29" s="261"/>
      <c r="U29" s="261"/>
      <c r="V29" s="264"/>
    </row>
    <row r="30" spans="1:22" s="262" customFormat="1" ht="12.75">
      <c r="A30" s="261" t="str">
        <f>CONCATENATE("HRA ",'WORK SHEET'!J207,"%")</f>
        <v>HRA %</v>
      </c>
      <c r="B30" s="349" t="s">
        <v>205</v>
      </c>
      <c r="C30" s="261">
        <f>C28-C29</f>
        <v>0</v>
      </c>
      <c r="D30" s="261" t="e">
        <f>D28-D29</f>
        <v>#VALUE!</v>
      </c>
      <c r="E30" s="261">
        <f>E28-E29</f>
        <v>0</v>
      </c>
      <c r="F30" s="261">
        <f>F28-F29</f>
        <v>0</v>
      </c>
      <c r="G30" s="261"/>
      <c r="H30" s="261"/>
      <c r="I30" s="261"/>
      <c r="J30" s="261" t="e">
        <f>J28-J29</f>
        <v>#VALUE!</v>
      </c>
      <c r="K30" s="261"/>
      <c r="L30" s="261"/>
      <c r="M30" s="261"/>
      <c r="N30" s="261"/>
      <c r="O30" s="261"/>
      <c r="P30" s="261"/>
      <c r="Q30" s="261"/>
      <c r="R30" s="261"/>
      <c r="S30" s="261"/>
      <c r="T30" s="261"/>
      <c r="U30" s="261"/>
      <c r="V30" s="264"/>
    </row>
    <row r="31" spans="1:22" s="262" customFormat="1" ht="12.75">
      <c r="A31" s="302">
        <f>'WORK SHEET'!D207</f>
        <v>0</v>
      </c>
      <c r="B31" s="822" t="s">
        <v>209</v>
      </c>
      <c r="C31" s="823"/>
      <c r="D31" s="256">
        <f>'WORK SHEET'!C207</f>
        <v>0</v>
      </c>
      <c r="E31" s="257" t="s">
        <v>1</v>
      </c>
      <c r="F31" s="815">
        <f>'WORK SHEET'!F207</f>
        <v>0</v>
      </c>
      <c r="G31" s="816"/>
      <c r="H31" s="820" t="s">
        <v>434</v>
      </c>
      <c r="I31" s="821"/>
      <c r="J31" s="261">
        <f>'WORK SHEET'!I207</f>
        <v>0</v>
      </c>
      <c r="K31" s="261">
        <f>ROUND(C30*J31,0)</f>
        <v>0</v>
      </c>
      <c r="L31" s="261" t="e">
        <f>ROUND(D30*J31,0)</f>
        <v>#VALUE!</v>
      </c>
      <c r="M31" s="261">
        <f>ROUND(E30*J31,0)</f>
        <v>0</v>
      </c>
      <c r="N31" s="261">
        <f>ROUND(F30*J31,0)</f>
        <v>0</v>
      </c>
      <c r="O31" s="261" t="str">
        <f>IF('WORK SHEET'!D95=0," ",ROUND(G10*J31,0))</f>
        <v> </v>
      </c>
      <c r="P31" s="261" t="str">
        <f>IF('WORK SHEET'!D96=0," ",ROUND(H10*J31,0))</f>
        <v> </v>
      </c>
      <c r="Q31" s="261" t="str">
        <f>IF('WORK SHEET'!D97=0," ",ROUND(I10*J31,0))</f>
        <v> </v>
      </c>
      <c r="R31" s="261" t="e">
        <f>SUM(K31:Q31)</f>
        <v>#VALUE!</v>
      </c>
      <c r="S31" s="261"/>
      <c r="T31" s="261"/>
      <c r="U31" s="261"/>
      <c r="V31" s="264"/>
    </row>
    <row r="32" spans="1:22" s="268" customFormat="1" ht="12.75">
      <c r="A32" s="265"/>
      <c r="B32" s="273"/>
      <c r="C32" s="274"/>
      <c r="D32" s="266"/>
      <c r="E32" s="267"/>
      <c r="F32" s="267" t="s">
        <v>148</v>
      </c>
      <c r="G32" s="275"/>
      <c r="H32" s="276"/>
      <c r="I32" s="277"/>
      <c r="J32" s="265"/>
      <c r="K32" s="279">
        <f>SUM(K11:K31)</f>
        <v>0</v>
      </c>
      <c r="L32" s="279" t="e">
        <f aca="true" t="shared" si="0" ref="L32:R32">SUM(L11:L31)</f>
        <v>#VALUE!</v>
      </c>
      <c r="M32" s="279">
        <f t="shared" si="0"/>
        <v>0</v>
      </c>
      <c r="N32" s="279">
        <f t="shared" si="0"/>
        <v>0</v>
      </c>
      <c r="O32" s="279">
        <f t="shared" si="0"/>
        <v>0</v>
      </c>
      <c r="P32" s="279">
        <f t="shared" si="0"/>
        <v>0</v>
      </c>
      <c r="Q32" s="279">
        <f t="shared" si="0"/>
        <v>0</v>
      </c>
      <c r="R32" s="279" t="e">
        <f t="shared" si="0"/>
        <v>#VALUE!</v>
      </c>
      <c r="S32" s="279"/>
      <c r="T32" s="279"/>
      <c r="U32" s="279"/>
      <c r="V32" s="354"/>
    </row>
    <row r="33" spans="1:22" s="262" customFormat="1" ht="12.75">
      <c r="A33" s="264"/>
      <c r="B33" s="350">
        <v>1</v>
      </c>
      <c r="C33" s="817">
        <v>2</v>
      </c>
      <c r="D33" s="818"/>
      <c r="E33" s="818"/>
      <c r="F33" s="818"/>
      <c r="G33" s="818"/>
      <c r="H33" s="818"/>
      <c r="I33" s="818"/>
      <c r="J33" s="819"/>
      <c r="K33" s="333">
        <v>3</v>
      </c>
      <c r="L33" s="333">
        <v>4</v>
      </c>
      <c r="M33" s="333">
        <v>5</v>
      </c>
      <c r="N33" s="333">
        <v>6</v>
      </c>
      <c r="O33" s="333">
        <v>7</v>
      </c>
      <c r="P33" s="333">
        <v>8</v>
      </c>
      <c r="Q33" s="333">
        <v>9</v>
      </c>
      <c r="R33" s="333">
        <v>10</v>
      </c>
      <c r="S33" s="333">
        <v>11</v>
      </c>
      <c r="T33" s="333">
        <v>12</v>
      </c>
      <c r="U33" s="333">
        <v>13</v>
      </c>
      <c r="V33" s="333">
        <v>14</v>
      </c>
    </row>
    <row r="34" spans="1:22" s="262" customFormat="1" ht="12.75">
      <c r="A34" s="261"/>
      <c r="B34" s="254"/>
      <c r="C34" s="255"/>
      <c r="D34" s="256"/>
      <c r="E34" s="257"/>
      <c r="F34" s="257" t="s">
        <v>315</v>
      </c>
      <c r="G34" s="258"/>
      <c r="H34" s="259"/>
      <c r="I34" s="260"/>
      <c r="J34" s="261"/>
      <c r="K34" s="261">
        <f aca="true" t="shared" si="1" ref="K34:R34">K32</f>
        <v>0</v>
      </c>
      <c r="L34" s="261" t="e">
        <f t="shared" si="1"/>
        <v>#VALUE!</v>
      </c>
      <c r="M34" s="261">
        <f t="shared" si="1"/>
        <v>0</v>
      </c>
      <c r="N34" s="261">
        <f t="shared" si="1"/>
        <v>0</v>
      </c>
      <c r="O34" s="261">
        <f t="shared" si="1"/>
        <v>0</v>
      </c>
      <c r="P34" s="261">
        <f t="shared" si="1"/>
        <v>0</v>
      </c>
      <c r="Q34" s="261">
        <f t="shared" si="1"/>
        <v>0</v>
      </c>
      <c r="R34" s="261" t="e">
        <f t="shared" si="1"/>
        <v>#VALUE!</v>
      </c>
      <c r="S34" s="261"/>
      <c r="T34" s="261"/>
      <c r="U34" s="261"/>
      <c r="V34" s="264"/>
    </row>
    <row r="35" spans="1:22" s="262" customFormat="1" ht="12.75">
      <c r="A35" s="263" t="str">
        <f>CONCATENATE('WORK SHEET'!L208,"%")</f>
        <v>%</v>
      </c>
      <c r="B35" s="349" t="s">
        <v>203</v>
      </c>
      <c r="C35" s="261">
        <f>'WORK SHEET'!E208</f>
        <v>0</v>
      </c>
      <c r="D35" s="261" t="e">
        <f>ROUND(C35*A35,0)</f>
        <v>#VALUE!</v>
      </c>
      <c r="E35" s="261">
        <f>ROUND(C35*'WORK SHEET'!N188/100,0)</f>
        <v>0</v>
      </c>
      <c r="F35" s="261">
        <v>0</v>
      </c>
      <c r="G35" s="261"/>
      <c r="H35" s="261"/>
      <c r="I35" s="261"/>
      <c r="J35" s="261" t="e">
        <f>SUM(C35:I35)</f>
        <v>#VALUE!</v>
      </c>
      <c r="K35" s="261"/>
      <c r="L35" s="261"/>
      <c r="M35" s="261"/>
      <c r="N35" s="261"/>
      <c r="O35" s="261"/>
      <c r="P35" s="261"/>
      <c r="Q35" s="261"/>
      <c r="R35" s="261"/>
      <c r="S35" s="261"/>
      <c r="T35" s="261"/>
      <c r="U35" s="261"/>
      <c r="V35" s="264"/>
    </row>
    <row r="36" spans="1:22" s="262" customFormat="1" ht="12.75">
      <c r="A36" s="263" t="str">
        <f>CONCATENATE('WORK SHEET'!K208,"%")</f>
        <v>%</v>
      </c>
      <c r="B36" s="349" t="s">
        <v>204</v>
      </c>
      <c r="C36" s="261">
        <f>'WORK SHEET'!M208</f>
        <v>0</v>
      </c>
      <c r="D36" s="261" t="e">
        <f>ROUND(C36*A36,0)</f>
        <v>#VALUE!</v>
      </c>
      <c r="E36" s="261">
        <f>ROUND(C36*'WORK SHEET'!N188/100,0)</f>
        <v>0</v>
      </c>
      <c r="F36" s="261">
        <f>ROUND(C36*IF(D38&lt;39722,0,IF(D38&lt;39814,15,22))/100,0)</f>
        <v>0</v>
      </c>
      <c r="G36" s="261"/>
      <c r="H36" s="261"/>
      <c r="I36" s="261"/>
      <c r="J36" s="261" t="e">
        <f>SUM(C36:I36)</f>
        <v>#VALUE!</v>
      </c>
      <c r="K36" s="261"/>
      <c r="L36" s="261"/>
      <c r="M36" s="261"/>
      <c r="N36" s="261"/>
      <c r="O36" s="261"/>
      <c r="P36" s="261"/>
      <c r="Q36" s="261"/>
      <c r="R36" s="261"/>
      <c r="S36" s="261"/>
      <c r="T36" s="261"/>
      <c r="U36" s="261"/>
      <c r="V36" s="264"/>
    </row>
    <row r="37" spans="1:22" s="262" customFormat="1" ht="12.75">
      <c r="A37" s="261" t="str">
        <f>CONCATENATE("HRA ",'WORK SHEET'!J208,"%")</f>
        <v>HRA %</v>
      </c>
      <c r="B37" s="349" t="s">
        <v>205</v>
      </c>
      <c r="C37" s="261">
        <f>C35-C36</f>
        <v>0</v>
      </c>
      <c r="D37" s="261" t="e">
        <f>D35-D36</f>
        <v>#VALUE!</v>
      </c>
      <c r="E37" s="261">
        <f>E35-E36</f>
        <v>0</v>
      </c>
      <c r="F37" s="261">
        <f>F35-F36</f>
        <v>0</v>
      </c>
      <c r="G37" s="261"/>
      <c r="H37" s="261"/>
      <c r="I37" s="261"/>
      <c r="J37" s="261" t="e">
        <f>J35-J36</f>
        <v>#VALUE!</v>
      </c>
      <c r="K37" s="261"/>
      <c r="L37" s="261"/>
      <c r="M37" s="261"/>
      <c r="N37" s="261"/>
      <c r="O37" s="261"/>
      <c r="P37" s="261"/>
      <c r="Q37" s="261"/>
      <c r="R37" s="261"/>
      <c r="S37" s="261"/>
      <c r="T37" s="261"/>
      <c r="U37" s="261"/>
      <c r="V37" s="264"/>
    </row>
    <row r="38" spans="1:22" s="262" customFormat="1" ht="12.75">
      <c r="A38" s="302">
        <f>'WORK SHEET'!D208</f>
        <v>0</v>
      </c>
      <c r="B38" s="822" t="s">
        <v>209</v>
      </c>
      <c r="C38" s="823"/>
      <c r="D38" s="256">
        <f>'WORK SHEET'!C208</f>
        <v>0</v>
      </c>
      <c r="E38" s="257" t="s">
        <v>1</v>
      </c>
      <c r="F38" s="815">
        <f>'WORK SHEET'!F208</f>
        <v>0</v>
      </c>
      <c r="G38" s="816"/>
      <c r="H38" s="820" t="s">
        <v>434</v>
      </c>
      <c r="I38" s="821"/>
      <c r="J38" s="261">
        <f>'WORK SHEET'!I208</f>
        <v>0</v>
      </c>
      <c r="K38" s="261">
        <f>ROUND(C37*J38,0)</f>
        <v>0</v>
      </c>
      <c r="L38" s="261" t="e">
        <f>ROUND(D37*J38,0)</f>
        <v>#VALUE!</v>
      </c>
      <c r="M38" s="261">
        <f>ROUND(E37*J38,0)</f>
        <v>0</v>
      </c>
      <c r="N38" s="261">
        <f>ROUND(F37*J38,0)</f>
        <v>0</v>
      </c>
      <c r="O38" s="261" t="str">
        <f>IF('WORK SHEET'!D95=0," ",ROUND(G10*J38,0))</f>
        <v> </v>
      </c>
      <c r="P38" s="261" t="str">
        <f>IF('WORK SHEET'!D96=0," ",ROUND(H10*J38,0))</f>
        <v> </v>
      </c>
      <c r="Q38" s="261" t="str">
        <f>IF('WORK SHEET'!D97=0," ",ROUND(I10*J38,0))</f>
        <v> </v>
      </c>
      <c r="R38" s="261" t="e">
        <f>SUM(K38:Q38)</f>
        <v>#VALUE!</v>
      </c>
      <c r="S38" s="261"/>
      <c r="T38" s="261"/>
      <c r="U38" s="261"/>
      <c r="V38" s="264"/>
    </row>
    <row r="39" spans="1:22" s="262" customFormat="1" ht="12.75">
      <c r="A39" s="263" t="str">
        <f>CONCATENATE('WORK SHEET'!L209,"%")</f>
        <v>%</v>
      </c>
      <c r="B39" s="349" t="s">
        <v>203</v>
      </c>
      <c r="C39" s="261">
        <f>'WORK SHEET'!E209</f>
        <v>0</v>
      </c>
      <c r="D39" s="261" t="e">
        <f>ROUND(C39*A39,0)</f>
        <v>#VALUE!</v>
      </c>
      <c r="E39" s="261">
        <f>ROUND(C39*'WORK SHEET'!N189/100,0)</f>
        <v>0</v>
      </c>
      <c r="F39" s="261">
        <v>0</v>
      </c>
      <c r="G39" s="261"/>
      <c r="H39" s="261"/>
      <c r="I39" s="261"/>
      <c r="J39" s="261" t="e">
        <f>SUM(C39:I39)</f>
        <v>#VALUE!</v>
      </c>
      <c r="K39" s="261"/>
      <c r="L39" s="261"/>
      <c r="M39" s="261"/>
      <c r="N39" s="261"/>
      <c r="O39" s="261"/>
      <c r="P39" s="261"/>
      <c r="Q39" s="261"/>
      <c r="R39" s="261"/>
      <c r="S39" s="261"/>
      <c r="T39" s="261"/>
      <c r="U39" s="261"/>
      <c r="V39" s="264"/>
    </row>
    <row r="40" spans="1:22" s="262" customFormat="1" ht="12.75">
      <c r="A40" s="263" t="str">
        <f>CONCATENATE('WORK SHEET'!K209,"%")</f>
        <v>%</v>
      </c>
      <c r="B40" s="349" t="s">
        <v>204</v>
      </c>
      <c r="C40" s="261">
        <f>'WORK SHEET'!M209</f>
        <v>0</v>
      </c>
      <c r="D40" s="261" t="e">
        <f>ROUND(C40*A40,0)</f>
        <v>#VALUE!</v>
      </c>
      <c r="E40" s="261">
        <f>ROUND(C40*'WORK SHEET'!N189/100,0)</f>
        <v>0</v>
      </c>
      <c r="F40" s="261">
        <f>ROUND(C40*IF(D42&lt;39722,0,IF(D42&lt;39814,15,22))/100,0)</f>
        <v>0</v>
      </c>
      <c r="G40" s="261"/>
      <c r="H40" s="261"/>
      <c r="I40" s="261"/>
      <c r="J40" s="261" t="e">
        <f>SUM(C40:I40)</f>
        <v>#VALUE!</v>
      </c>
      <c r="K40" s="261"/>
      <c r="L40" s="261"/>
      <c r="M40" s="261"/>
      <c r="N40" s="261"/>
      <c r="O40" s="261"/>
      <c r="P40" s="261"/>
      <c r="Q40" s="261"/>
      <c r="R40" s="261"/>
      <c r="S40" s="261"/>
      <c r="T40" s="261"/>
      <c r="U40" s="261"/>
      <c r="V40" s="264"/>
    </row>
    <row r="41" spans="1:22" s="262" customFormat="1" ht="12.75">
      <c r="A41" s="261" t="str">
        <f>CONCATENATE("HRA ",'WORK SHEET'!J209,"%")</f>
        <v>HRA %</v>
      </c>
      <c r="B41" s="349" t="s">
        <v>205</v>
      </c>
      <c r="C41" s="261">
        <f>C39-C40</f>
        <v>0</v>
      </c>
      <c r="D41" s="261" t="e">
        <f>D39-D40</f>
        <v>#VALUE!</v>
      </c>
      <c r="E41" s="261">
        <f>E39-E40</f>
        <v>0</v>
      </c>
      <c r="F41" s="261">
        <f>F39-F40</f>
        <v>0</v>
      </c>
      <c r="G41" s="261"/>
      <c r="H41" s="261"/>
      <c r="I41" s="261"/>
      <c r="J41" s="261" t="e">
        <f>J39-J40</f>
        <v>#VALUE!</v>
      </c>
      <c r="K41" s="261"/>
      <c r="L41" s="261"/>
      <c r="M41" s="261"/>
      <c r="N41" s="261"/>
      <c r="O41" s="261"/>
      <c r="P41" s="261"/>
      <c r="Q41" s="261"/>
      <c r="R41" s="261"/>
      <c r="S41" s="261"/>
      <c r="T41" s="261"/>
      <c r="U41" s="261"/>
      <c r="V41" s="264"/>
    </row>
    <row r="42" spans="1:22" s="262" customFormat="1" ht="12.75">
      <c r="A42" s="302">
        <f>'WORK SHEET'!D209</f>
        <v>0</v>
      </c>
      <c r="B42" s="822" t="s">
        <v>209</v>
      </c>
      <c r="C42" s="823"/>
      <c r="D42" s="256">
        <f>'WORK SHEET'!C209</f>
        <v>0</v>
      </c>
      <c r="E42" s="257" t="s">
        <v>1</v>
      </c>
      <c r="F42" s="815">
        <f>'WORK SHEET'!F209</f>
        <v>0</v>
      </c>
      <c r="G42" s="816"/>
      <c r="H42" s="820" t="s">
        <v>434</v>
      </c>
      <c r="I42" s="821"/>
      <c r="J42" s="261">
        <f>'WORK SHEET'!I209</f>
        <v>0</v>
      </c>
      <c r="K42" s="261">
        <f>ROUND(C41*J42,0)</f>
        <v>0</v>
      </c>
      <c r="L42" s="261" t="e">
        <f>ROUND(D41*J42,0)</f>
        <v>#VALUE!</v>
      </c>
      <c r="M42" s="261">
        <f>ROUND(E41*J42,0)</f>
        <v>0</v>
      </c>
      <c r="N42" s="261">
        <f>ROUND(F41*J42,0)</f>
        <v>0</v>
      </c>
      <c r="O42" s="261" t="str">
        <f>IF('WORK SHEET'!D95=0," ",ROUND(G10*J42,0))</f>
        <v> </v>
      </c>
      <c r="P42" s="261" t="str">
        <f>IF('WORK SHEET'!D96=0," ",ROUND(H10*J42,0))</f>
        <v> </v>
      </c>
      <c r="Q42" s="261" t="str">
        <f>IF('WORK SHEET'!D97=0," ",ROUND(I10*J42,0))</f>
        <v> </v>
      </c>
      <c r="R42" s="261" t="e">
        <f>SUM(K42:Q42)</f>
        <v>#VALUE!</v>
      </c>
      <c r="S42" s="261"/>
      <c r="T42" s="261"/>
      <c r="U42" s="261"/>
      <c r="V42" s="264"/>
    </row>
    <row r="43" spans="1:22" s="262" customFormat="1" ht="12.75">
      <c r="A43" s="263" t="str">
        <f>CONCATENATE('WORK SHEET'!L210,"%")</f>
        <v>%</v>
      </c>
      <c r="B43" s="349" t="s">
        <v>203</v>
      </c>
      <c r="C43" s="261">
        <f>'WORK SHEET'!E210</f>
        <v>0</v>
      </c>
      <c r="D43" s="261" t="e">
        <f>ROUND(C43*A43,0)</f>
        <v>#VALUE!</v>
      </c>
      <c r="E43" s="261">
        <f>ROUND(C43*'WORK SHEET'!N190/100,0)</f>
        <v>0</v>
      </c>
      <c r="F43" s="261">
        <v>0</v>
      </c>
      <c r="G43" s="261"/>
      <c r="H43" s="261"/>
      <c r="I43" s="261"/>
      <c r="J43" s="261" t="e">
        <f>SUM(C43:I43)</f>
        <v>#VALUE!</v>
      </c>
      <c r="K43" s="261"/>
      <c r="L43" s="261"/>
      <c r="M43" s="261"/>
      <c r="N43" s="261"/>
      <c r="O43" s="261"/>
      <c r="P43" s="261"/>
      <c r="Q43" s="261"/>
      <c r="R43" s="261"/>
      <c r="S43" s="261"/>
      <c r="T43" s="261"/>
      <c r="U43" s="261"/>
      <c r="V43" s="264"/>
    </row>
    <row r="44" spans="1:22" s="262" customFormat="1" ht="12.75">
      <c r="A44" s="263" t="str">
        <f>CONCATENATE('WORK SHEET'!K210,"%")</f>
        <v>%</v>
      </c>
      <c r="B44" s="349" t="s">
        <v>204</v>
      </c>
      <c r="C44" s="261">
        <f>'WORK SHEET'!M210</f>
        <v>0</v>
      </c>
      <c r="D44" s="261" t="e">
        <f>ROUND(C44*A44,0)</f>
        <v>#VALUE!</v>
      </c>
      <c r="E44" s="261">
        <f>ROUND(C44*'WORK SHEET'!N190/100,0)</f>
        <v>0</v>
      </c>
      <c r="F44" s="261">
        <f>ROUND(C44*IF(D46&lt;39722,0,IF(D46&lt;39814,15,22))/100,0)</f>
        <v>0</v>
      </c>
      <c r="G44" s="261"/>
      <c r="H44" s="261"/>
      <c r="I44" s="261"/>
      <c r="J44" s="261" t="e">
        <f>SUM(C44:I44)</f>
        <v>#VALUE!</v>
      </c>
      <c r="K44" s="261"/>
      <c r="L44" s="261"/>
      <c r="M44" s="261"/>
      <c r="N44" s="261"/>
      <c r="O44" s="261"/>
      <c r="P44" s="261"/>
      <c r="Q44" s="261"/>
      <c r="R44" s="261"/>
      <c r="S44" s="261"/>
      <c r="T44" s="261"/>
      <c r="U44" s="261"/>
      <c r="V44" s="264"/>
    </row>
    <row r="45" spans="1:22" s="262" customFormat="1" ht="12.75">
      <c r="A45" s="261" t="str">
        <f>CONCATENATE("HRA ",'WORK SHEET'!J210,"%")</f>
        <v>HRA %</v>
      </c>
      <c r="B45" s="349" t="s">
        <v>205</v>
      </c>
      <c r="C45" s="261">
        <f>C43-C44</f>
        <v>0</v>
      </c>
      <c r="D45" s="261" t="e">
        <f>D43-D44</f>
        <v>#VALUE!</v>
      </c>
      <c r="E45" s="261">
        <f>E43-E44</f>
        <v>0</v>
      </c>
      <c r="F45" s="261">
        <f>F43-F44</f>
        <v>0</v>
      </c>
      <c r="G45" s="261"/>
      <c r="H45" s="261"/>
      <c r="I45" s="261"/>
      <c r="J45" s="261" t="e">
        <f>J43-J44</f>
        <v>#VALUE!</v>
      </c>
      <c r="K45" s="261"/>
      <c r="L45" s="261"/>
      <c r="M45" s="261"/>
      <c r="N45" s="261"/>
      <c r="O45" s="261"/>
      <c r="P45" s="261"/>
      <c r="Q45" s="261"/>
      <c r="R45" s="261"/>
      <c r="S45" s="261"/>
      <c r="T45" s="261"/>
      <c r="U45" s="261"/>
      <c r="V45" s="264"/>
    </row>
    <row r="46" spans="1:22" s="262" customFormat="1" ht="12.75">
      <c r="A46" s="302">
        <f>'WORK SHEET'!D210</f>
        <v>0</v>
      </c>
      <c r="B46" s="822" t="s">
        <v>209</v>
      </c>
      <c r="C46" s="823"/>
      <c r="D46" s="256">
        <f>'WORK SHEET'!C210</f>
        <v>0</v>
      </c>
      <c r="E46" s="257" t="s">
        <v>1</v>
      </c>
      <c r="F46" s="815">
        <f>'WORK SHEET'!F210</f>
        <v>0</v>
      </c>
      <c r="G46" s="816"/>
      <c r="H46" s="820" t="s">
        <v>434</v>
      </c>
      <c r="I46" s="821"/>
      <c r="J46" s="261">
        <f>'WORK SHEET'!I210</f>
        <v>0</v>
      </c>
      <c r="K46" s="261">
        <f>ROUND(C45*J46,0)</f>
        <v>0</v>
      </c>
      <c r="L46" s="261" t="e">
        <f>ROUND(D45*J46,0)</f>
        <v>#VALUE!</v>
      </c>
      <c r="M46" s="261">
        <f>ROUND(E45*J46,0)</f>
        <v>0</v>
      </c>
      <c r="N46" s="261">
        <f>ROUND(F45*J46,0)</f>
        <v>0</v>
      </c>
      <c r="O46" s="261" t="str">
        <f>IF('WORK SHEET'!D95=0," ",ROUND(G10*J46,0))</f>
        <v> </v>
      </c>
      <c r="P46" s="261" t="str">
        <f>IF('WORK SHEET'!D96=0," ",ROUND(H10*J46,0))</f>
        <v> </v>
      </c>
      <c r="Q46" s="261" t="str">
        <f>IF('WORK SHEET'!D97=0," ",ROUND(I10*J46,0))</f>
        <v> </v>
      </c>
      <c r="R46" s="261" t="e">
        <f>SUM(K46:Q46)</f>
        <v>#VALUE!</v>
      </c>
      <c r="S46" s="261"/>
      <c r="T46" s="261"/>
      <c r="U46" s="261"/>
      <c r="V46" s="264"/>
    </row>
    <row r="47" spans="1:22" s="262" customFormat="1" ht="12.75">
      <c r="A47" s="263" t="str">
        <f>CONCATENATE('WORK SHEET'!L211,"%")</f>
        <v>%</v>
      </c>
      <c r="B47" s="349" t="s">
        <v>203</v>
      </c>
      <c r="C47" s="261">
        <f>'WORK SHEET'!E211</f>
        <v>0</v>
      </c>
      <c r="D47" s="261" t="e">
        <f>ROUND(C47*A47,0)</f>
        <v>#VALUE!</v>
      </c>
      <c r="E47" s="261">
        <f>ROUND(C47*'WORK SHEET'!N191/100,0)</f>
        <v>0</v>
      </c>
      <c r="F47" s="261">
        <v>0</v>
      </c>
      <c r="G47" s="261"/>
      <c r="H47" s="261"/>
      <c r="I47" s="261"/>
      <c r="J47" s="261" t="e">
        <f>SUM(C47:I47)</f>
        <v>#VALUE!</v>
      </c>
      <c r="K47" s="261"/>
      <c r="L47" s="261"/>
      <c r="M47" s="261"/>
      <c r="N47" s="261"/>
      <c r="O47" s="261"/>
      <c r="P47" s="261"/>
      <c r="Q47" s="261"/>
      <c r="R47" s="261"/>
      <c r="S47" s="261"/>
      <c r="T47" s="261"/>
      <c r="U47" s="261"/>
      <c r="V47" s="264"/>
    </row>
    <row r="48" spans="1:22" s="262" customFormat="1" ht="12.75">
      <c r="A48" s="263" t="str">
        <f>CONCATENATE('WORK SHEET'!K211,"%")</f>
        <v>%</v>
      </c>
      <c r="B48" s="349" t="s">
        <v>204</v>
      </c>
      <c r="C48" s="261">
        <f>'WORK SHEET'!M211</f>
        <v>0</v>
      </c>
      <c r="D48" s="261" t="e">
        <f>ROUND(C48*A48,0)</f>
        <v>#VALUE!</v>
      </c>
      <c r="E48" s="261">
        <f>ROUND(C48*'WORK SHEET'!N191/100,0)</f>
        <v>0</v>
      </c>
      <c r="F48" s="261">
        <f>ROUND(C48*IF(D50&lt;39722,0,IF(D50&lt;39814,15,22))/100,0)</f>
        <v>0</v>
      </c>
      <c r="G48" s="261"/>
      <c r="H48" s="261"/>
      <c r="I48" s="261"/>
      <c r="J48" s="261" t="e">
        <f>SUM(C48:I48)</f>
        <v>#VALUE!</v>
      </c>
      <c r="K48" s="261"/>
      <c r="L48" s="261"/>
      <c r="M48" s="261"/>
      <c r="N48" s="261"/>
      <c r="O48" s="261"/>
      <c r="P48" s="261"/>
      <c r="Q48" s="261"/>
      <c r="R48" s="261"/>
      <c r="S48" s="261"/>
      <c r="T48" s="261"/>
      <c r="U48" s="261"/>
      <c r="V48" s="264"/>
    </row>
    <row r="49" spans="1:22" s="262" customFormat="1" ht="12.75">
      <c r="A49" s="261" t="str">
        <f>CONCATENATE("HRA ",'WORK SHEET'!J211,"%")</f>
        <v>HRA %</v>
      </c>
      <c r="B49" s="349" t="s">
        <v>205</v>
      </c>
      <c r="C49" s="261">
        <f>C47-C48</f>
        <v>0</v>
      </c>
      <c r="D49" s="261" t="e">
        <f>D47-D48</f>
        <v>#VALUE!</v>
      </c>
      <c r="E49" s="261">
        <f>E47-E48</f>
        <v>0</v>
      </c>
      <c r="F49" s="261">
        <f>F47-F48</f>
        <v>0</v>
      </c>
      <c r="G49" s="261"/>
      <c r="H49" s="261"/>
      <c r="I49" s="261"/>
      <c r="J49" s="261" t="e">
        <f>J47-J48</f>
        <v>#VALUE!</v>
      </c>
      <c r="K49" s="261"/>
      <c r="L49" s="261"/>
      <c r="M49" s="261"/>
      <c r="N49" s="261"/>
      <c r="O49" s="261"/>
      <c r="P49" s="261"/>
      <c r="Q49" s="261"/>
      <c r="R49" s="261"/>
      <c r="S49" s="261"/>
      <c r="T49" s="261"/>
      <c r="U49" s="261"/>
      <c r="V49" s="264"/>
    </row>
    <row r="50" spans="1:22" s="262" customFormat="1" ht="12.75">
      <c r="A50" s="302">
        <f>'WORK SHEET'!D211</f>
        <v>0</v>
      </c>
      <c r="B50" s="822" t="s">
        <v>209</v>
      </c>
      <c r="C50" s="823"/>
      <c r="D50" s="256">
        <f>'WORK SHEET'!C211</f>
        <v>0</v>
      </c>
      <c r="E50" s="257" t="s">
        <v>1</v>
      </c>
      <c r="F50" s="815">
        <f>'WORK SHEET'!F211</f>
        <v>0</v>
      </c>
      <c r="G50" s="816"/>
      <c r="H50" s="820" t="s">
        <v>434</v>
      </c>
      <c r="I50" s="821"/>
      <c r="J50" s="261">
        <f>'WORK SHEET'!I211</f>
        <v>0</v>
      </c>
      <c r="K50" s="261">
        <f>ROUND(C49*J50,0)</f>
        <v>0</v>
      </c>
      <c r="L50" s="261" t="e">
        <f>ROUND(D49*J50,0)</f>
        <v>#VALUE!</v>
      </c>
      <c r="M50" s="261">
        <f>ROUND(E49*J50,0)</f>
        <v>0</v>
      </c>
      <c r="N50" s="261">
        <f>ROUND(F49*J50,0)</f>
        <v>0</v>
      </c>
      <c r="O50" s="261" t="str">
        <f>IF('WORK SHEET'!D95=0," ",ROUND(G10*J50,0))</f>
        <v> </v>
      </c>
      <c r="P50" s="261" t="str">
        <f>IF('WORK SHEET'!D96=0," ",ROUND(H10*J50,0))</f>
        <v> </v>
      </c>
      <c r="Q50" s="261" t="str">
        <f>IF('WORK SHEET'!D97=0," ",ROUND(I10*J50,0))</f>
        <v> </v>
      </c>
      <c r="R50" s="261" t="e">
        <f>SUM(K50:Q50)</f>
        <v>#VALUE!</v>
      </c>
      <c r="S50" s="261"/>
      <c r="T50" s="261"/>
      <c r="U50" s="261"/>
      <c r="V50" s="264"/>
    </row>
    <row r="51" spans="1:22" s="262" customFormat="1" ht="12.75">
      <c r="A51" s="263" t="str">
        <f>CONCATENATE('WORK SHEET'!L212,"%")</f>
        <v>%</v>
      </c>
      <c r="B51" s="349" t="s">
        <v>203</v>
      </c>
      <c r="C51" s="261">
        <f>'WORK SHEET'!E212</f>
        <v>0</v>
      </c>
      <c r="D51" s="261" t="e">
        <f>ROUND(C51*A51,0)</f>
        <v>#VALUE!</v>
      </c>
      <c r="E51" s="261">
        <f>ROUND(C51*'WORK SHEET'!N192/100,0)</f>
        <v>0</v>
      </c>
      <c r="F51" s="261">
        <v>0</v>
      </c>
      <c r="G51" s="261"/>
      <c r="H51" s="261"/>
      <c r="I51" s="261"/>
      <c r="J51" s="261" t="e">
        <f>SUM(C51:I51)</f>
        <v>#VALUE!</v>
      </c>
      <c r="K51" s="261"/>
      <c r="L51" s="261"/>
      <c r="M51" s="261"/>
      <c r="N51" s="261"/>
      <c r="O51" s="261"/>
      <c r="P51" s="261"/>
      <c r="Q51" s="261"/>
      <c r="R51" s="261"/>
      <c r="S51" s="261"/>
      <c r="T51" s="261"/>
      <c r="U51" s="261"/>
      <c r="V51" s="264"/>
    </row>
    <row r="52" spans="1:22" s="262" customFormat="1" ht="12.75">
      <c r="A52" s="263" t="str">
        <f>CONCATENATE('WORK SHEET'!K212,"%")</f>
        <v>%</v>
      </c>
      <c r="B52" s="349" t="s">
        <v>204</v>
      </c>
      <c r="C52" s="261">
        <f>'WORK SHEET'!M212</f>
        <v>0</v>
      </c>
      <c r="D52" s="261" t="e">
        <f>ROUND(C52*A52,0)</f>
        <v>#VALUE!</v>
      </c>
      <c r="E52" s="261">
        <f>ROUND(C52*'WORK SHEET'!N192/100,0)</f>
        <v>0</v>
      </c>
      <c r="F52" s="261">
        <f>ROUND(C52*IF(D54&lt;39722,0,IF(D54&lt;39814,15,22))/100,0)</f>
        <v>0</v>
      </c>
      <c r="G52" s="261"/>
      <c r="H52" s="261"/>
      <c r="I52" s="261"/>
      <c r="J52" s="261" t="e">
        <f>SUM(C52:I52)</f>
        <v>#VALUE!</v>
      </c>
      <c r="K52" s="261"/>
      <c r="L52" s="261"/>
      <c r="M52" s="261"/>
      <c r="N52" s="261"/>
      <c r="O52" s="261"/>
      <c r="P52" s="261"/>
      <c r="Q52" s="261"/>
      <c r="R52" s="261"/>
      <c r="S52" s="261"/>
      <c r="T52" s="261"/>
      <c r="U52" s="261"/>
      <c r="V52" s="264"/>
    </row>
    <row r="53" spans="1:22" s="262" customFormat="1" ht="12.75">
      <c r="A53" s="261" t="str">
        <f>CONCATENATE("HRA ",'WORK SHEET'!J212,"%")</f>
        <v>HRA %</v>
      </c>
      <c r="B53" s="349" t="s">
        <v>205</v>
      </c>
      <c r="C53" s="261">
        <f>C51-C52</f>
        <v>0</v>
      </c>
      <c r="D53" s="261" t="e">
        <f>D51-D52</f>
        <v>#VALUE!</v>
      </c>
      <c r="E53" s="261">
        <f>E51-E52</f>
        <v>0</v>
      </c>
      <c r="F53" s="261">
        <f>F51-F52</f>
        <v>0</v>
      </c>
      <c r="G53" s="261"/>
      <c r="H53" s="261"/>
      <c r="I53" s="261"/>
      <c r="J53" s="261" t="e">
        <f>J51-J52</f>
        <v>#VALUE!</v>
      </c>
      <c r="K53" s="261"/>
      <c r="L53" s="261"/>
      <c r="M53" s="261"/>
      <c r="N53" s="261"/>
      <c r="O53" s="261"/>
      <c r="P53" s="261"/>
      <c r="Q53" s="261"/>
      <c r="R53" s="261"/>
      <c r="S53" s="261"/>
      <c r="T53" s="261"/>
      <c r="U53" s="261"/>
      <c r="V53" s="264"/>
    </row>
    <row r="54" spans="1:22" s="262" customFormat="1" ht="12.75">
      <c r="A54" s="302">
        <f>'WORK SHEET'!D212</f>
        <v>0</v>
      </c>
      <c r="B54" s="822" t="s">
        <v>209</v>
      </c>
      <c r="C54" s="823"/>
      <c r="D54" s="256">
        <f>'WORK SHEET'!C212</f>
        <v>0</v>
      </c>
      <c r="E54" s="257" t="s">
        <v>1</v>
      </c>
      <c r="F54" s="815">
        <f>'WORK SHEET'!F212</f>
        <v>0</v>
      </c>
      <c r="G54" s="816"/>
      <c r="H54" s="820" t="s">
        <v>434</v>
      </c>
      <c r="I54" s="821"/>
      <c r="J54" s="261">
        <f>'WORK SHEET'!I212</f>
        <v>0</v>
      </c>
      <c r="K54" s="261">
        <f>ROUND(C53*J54,0)</f>
        <v>0</v>
      </c>
      <c r="L54" s="261" t="e">
        <f>ROUND(D53*J54,0)</f>
        <v>#VALUE!</v>
      </c>
      <c r="M54" s="261">
        <f>ROUND(E53*J54,0)</f>
        <v>0</v>
      </c>
      <c r="N54" s="261">
        <f>ROUND(F53*J54,0)</f>
        <v>0</v>
      </c>
      <c r="O54" s="261" t="str">
        <f>IF('WORK SHEET'!D95=0," ",ROUND(G10*J54,0))</f>
        <v> </v>
      </c>
      <c r="P54" s="261" t="str">
        <f>IF('WORK SHEET'!D96=0," ",ROUND(H10*J54,0))</f>
        <v> </v>
      </c>
      <c r="Q54" s="261" t="str">
        <f>IF('WORK SHEET'!D97=0," ",ROUND(I10*J54,0))</f>
        <v> </v>
      </c>
      <c r="R54" s="261" t="e">
        <f>SUM(K54:Q54)</f>
        <v>#VALUE!</v>
      </c>
      <c r="S54" s="261"/>
      <c r="T54" s="261"/>
      <c r="U54" s="261"/>
      <c r="V54" s="264"/>
    </row>
    <row r="55" spans="1:22" s="262" customFormat="1" ht="12.75">
      <c r="A55" s="263" t="str">
        <f>CONCATENATE('WORK SHEET'!L213,"%")</f>
        <v>%</v>
      </c>
      <c r="B55" s="349" t="s">
        <v>203</v>
      </c>
      <c r="C55" s="261">
        <f>'WORK SHEET'!E213</f>
        <v>0</v>
      </c>
      <c r="D55" s="261" t="e">
        <f>ROUND(C55*A55,0)</f>
        <v>#VALUE!</v>
      </c>
      <c r="E55" s="261">
        <f>ROUND(C55*'WORK SHEET'!N193/100,0)</f>
        <v>0</v>
      </c>
      <c r="F55" s="261">
        <v>0</v>
      </c>
      <c r="G55" s="261"/>
      <c r="H55" s="261"/>
      <c r="I55" s="261"/>
      <c r="J55" s="261" t="e">
        <f>SUM(C55:I55)</f>
        <v>#VALUE!</v>
      </c>
      <c r="K55" s="261"/>
      <c r="L55" s="261"/>
      <c r="M55" s="261"/>
      <c r="N55" s="261"/>
      <c r="O55" s="261"/>
      <c r="P55" s="261"/>
      <c r="Q55" s="261"/>
      <c r="R55" s="261"/>
      <c r="S55" s="261"/>
      <c r="T55" s="261"/>
      <c r="U55" s="261"/>
      <c r="V55" s="264"/>
    </row>
    <row r="56" spans="1:22" s="262" customFormat="1" ht="12.75">
      <c r="A56" s="263" t="str">
        <f>CONCATENATE('WORK SHEET'!K213,"%")</f>
        <v>%</v>
      </c>
      <c r="B56" s="349" t="s">
        <v>204</v>
      </c>
      <c r="C56" s="261">
        <f>'WORK SHEET'!M213</f>
        <v>0</v>
      </c>
      <c r="D56" s="261" t="e">
        <f>ROUND(C56*A56,0)</f>
        <v>#VALUE!</v>
      </c>
      <c r="E56" s="261">
        <f>ROUND(C56*'WORK SHEET'!N193/100,0)</f>
        <v>0</v>
      </c>
      <c r="F56" s="261">
        <f>ROUND(C56*IF(D58&lt;39722,0,IF(D58&lt;39814,15,22))/100,0)</f>
        <v>0</v>
      </c>
      <c r="G56" s="261"/>
      <c r="H56" s="261"/>
      <c r="I56" s="261"/>
      <c r="J56" s="261" t="e">
        <f>SUM(C56:I56)</f>
        <v>#VALUE!</v>
      </c>
      <c r="K56" s="261"/>
      <c r="L56" s="261"/>
      <c r="M56" s="261"/>
      <c r="N56" s="261"/>
      <c r="O56" s="261"/>
      <c r="P56" s="261"/>
      <c r="Q56" s="261"/>
      <c r="R56" s="261"/>
      <c r="S56" s="261"/>
      <c r="T56" s="261"/>
      <c r="U56" s="261"/>
      <c r="V56" s="264"/>
    </row>
    <row r="57" spans="1:22" s="262" customFormat="1" ht="12.75">
      <c r="A57" s="261" t="str">
        <f>CONCATENATE("HRA ",'WORK SHEET'!J213,"%")</f>
        <v>HRA %</v>
      </c>
      <c r="B57" s="349" t="s">
        <v>205</v>
      </c>
      <c r="C57" s="261">
        <f>C55-C56</f>
        <v>0</v>
      </c>
      <c r="D57" s="261" t="e">
        <f>D55-D56</f>
        <v>#VALUE!</v>
      </c>
      <c r="E57" s="261">
        <f>E55-E56</f>
        <v>0</v>
      </c>
      <c r="F57" s="261">
        <f>F55-F56</f>
        <v>0</v>
      </c>
      <c r="G57" s="261"/>
      <c r="H57" s="261"/>
      <c r="I57" s="261"/>
      <c r="J57" s="261" t="e">
        <f>J55-J56</f>
        <v>#VALUE!</v>
      </c>
      <c r="K57" s="261"/>
      <c r="L57" s="261"/>
      <c r="M57" s="261"/>
      <c r="N57" s="261"/>
      <c r="O57" s="261"/>
      <c r="P57" s="261"/>
      <c r="Q57" s="261"/>
      <c r="R57" s="261"/>
      <c r="S57" s="261"/>
      <c r="T57" s="261"/>
      <c r="U57" s="261"/>
      <c r="V57" s="264"/>
    </row>
    <row r="58" spans="1:22" s="262" customFormat="1" ht="12.75">
      <c r="A58" s="302">
        <f>'WORK SHEET'!D213</f>
        <v>0</v>
      </c>
      <c r="B58" s="822" t="s">
        <v>209</v>
      </c>
      <c r="C58" s="823"/>
      <c r="D58" s="256">
        <f>'WORK SHEET'!C213</f>
        <v>0</v>
      </c>
      <c r="E58" s="257" t="s">
        <v>1</v>
      </c>
      <c r="F58" s="815">
        <f>'WORK SHEET'!F213</f>
        <v>0</v>
      </c>
      <c r="G58" s="816"/>
      <c r="H58" s="820" t="s">
        <v>434</v>
      </c>
      <c r="I58" s="821"/>
      <c r="J58" s="261">
        <f>'WORK SHEET'!I213</f>
        <v>0</v>
      </c>
      <c r="K58" s="261">
        <f>ROUND(C57*J58,0)</f>
        <v>0</v>
      </c>
      <c r="L58" s="261" t="e">
        <f>ROUND(D57*J58,0)</f>
        <v>#VALUE!</v>
      </c>
      <c r="M58" s="261">
        <f>ROUND(E57*J58,0)</f>
        <v>0</v>
      </c>
      <c r="N58" s="261">
        <f>ROUND(F57*J58,0)</f>
        <v>0</v>
      </c>
      <c r="O58" s="261" t="str">
        <f>IF('WORK SHEET'!D95=0," ",ROUND(G10*J58,0))</f>
        <v> </v>
      </c>
      <c r="P58" s="261" t="str">
        <f>IF('WORK SHEET'!D96=0," ",ROUND(H10*J58,0))</f>
        <v> </v>
      </c>
      <c r="Q58" s="261" t="str">
        <f>IF('WORK SHEET'!D97=0," ",ROUND(I10*J58,0))</f>
        <v> </v>
      </c>
      <c r="R58" s="261" t="e">
        <f>SUM(K58:Q58)</f>
        <v>#VALUE!</v>
      </c>
      <c r="S58" s="261"/>
      <c r="T58" s="261"/>
      <c r="U58" s="261"/>
      <c r="V58" s="264"/>
    </row>
    <row r="59" spans="1:22" s="262" customFormat="1" ht="12.75">
      <c r="A59" s="263" t="str">
        <f>CONCATENATE('WORK SHEET'!L214,"%")</f>
        <v>%</v>
      </c>
      <c r="B59" s="349" t="s">
        <v>203</v>
      </c>
      <c r="C59" s="261">
        <f>'WORK SHEET'!E2081</f>
        <v>0</v>
      </c>
      <c r="D59" s="261" t="e">
        <f>ROUND(C59*A59,0)</f>
        <v>#VALUE!</v>
      </c>
      <c r="E59" s="261">
        <f>ROUND(C59*'WORK SHEET'!N194/100,0)</f>
        <v>0</v>
      </c>
      <c r="F59" s="261">
        <v>0</v>
      </c>
      <c r="G59" s="261"/>
      <c r="H59" s="261"/>
      <c r="I59" s="261"/>
      <c r="J59" s="261" t="e">
        <f>SUM(C59:I59)</f>
        <v>#VALUE!</v>
      </c>
      <c r="K59" s="261"/>
      <c r="L59" s="261"/>
      <c r="M59" s="261"/>
      <c r="N59" s="261"/>
      <c r="O59" s="261"/>
      <c r="P59" s="261"/>
      <c r="Q59" s="261"/>
      <c r="R59" s="261"/>
      <c r="S59" s="261"/>
      <c r="T59" s="261"/>
      <c r="U59" s="261"/>
      <c r="V59" s="264"/>
    </row>
    <row r="60" spans="1:22" s="262" customFormat="1" ht="12.75">
      <c r="A60" s="263" t="str">
        <f>CONCATENATE('WORK SHEET'!K214,"%")</f>
        <v>%</v>
      </c>
      <c r="B60" s="349" t="s">
        <v>204</v>
      </c>
      <c r="C60" s="261">
        <f>'WORK SHEET'!M214</f>
        <v>0</v>
      </c>
      <c r="D60" s="261" t="e">
        <f>ROUND(C60*A60,0)</f>
        <v>#VALUE!</v>
      </c>
      <c r="E60" s="261">
        <f>ROUND(C60*'WORK SHEET'!N194/100,0)</f>
        <v>0</v>
      </c>
      <c r="F60" s="261">
        <f>ROUND(C60*IF(D62&lt;39722,0,IF(D62&lt;39814,15,22))/100,0)</f>
        <v>0</v>
      </c>
      <c r="G60" s="261"/>
      <c r="H60" s="261"/>
      <c r="I60" s="261"/>
      <c r="J60" s="261" t="e">
        <f>SUM(C60:I60)</f>
        <v>#VALUE!</v>
      </c>
      <c r="K60" s="261"/>
      <c r="L60" s="261"/>
      <c r="M60" s="261"/>
      <c r="N60" s="261"/>
      <c r="O60" s="261"/>
      <c r="P60" s="261"/>
      <c r="Q60" s="261"/>
      <c r="R60" s="261"/>
      <c r="S60" s="261"/>
      <c r="T60" s="261"/>
      <c r="U60" s="261"/>
      <c r="V60" s="264"/>
    </row>
    <row r="61" spans="1:22" s="262" customFormat="1" ht="12.75">
      <c r="A61" s="261" t="str">
        <f>CONCATENATE("HRA ",'WORK SHEET'!J214,"%")</f>
        <v>HRA %</v>
      </c>
      <c r="B61" s="349" t="s">
        <v>205</v>
      </c>
      <c r="C61" s="261">
        <f>C59-C60</f>
        <v>0</v>
      </c>
      <c r="D61" s="261" t="e">
        <f>D59-D60</f>
        <v>#VALUE!</v>
      </c>
      <c r="E61" s="261">
        <f>E59-E60</f>
        <v>0</v>
      </c>
      <c r="F61" s="261">
        <f>F59-F60</f>
        <v>0</v>
      </c>
      <c r="G61" s="261"/>
      <c r="H61" s="261"/>
      <c r="I61" s="261"/>
      <c r="J61" s="261" t="e">
        <f>J59-J60</f>
        <v>#VALUE!</v>
      </c>
      <c r="K61" s="261"/>
      <c r="L61" s="261"/>
      <c r="M61" s="261"/>
      <c r="N61" s="261"/>
      <c r="O61" s="261"/>
      <c r="P61" s="261"/>
      <c r="Q61" s="261"/>
      <c r="R61" s="261"/>
      <c r="S61" s="261"/>
      <c r="T61" s="261"/>
      <c r="U61" s="261"/>
      <c r="V61" s="264"/>
    </row>
    <row r="62" spans="1:22" s="262" customFormat="1" ht="12.75">
      <c r="A62" s="302">
        <f>'WORK SHEET'!D214</f>
        <v>0</v>
      </c>
      <c r="B62" s="822" t="s">
        <v>209</v>
      </c>
      <c r="C62" s="823"/>
      <c r="D62" s="256">
        <f>'WORK SHEET'!C214</f>
        <v>0</v>
      </c>
      <c r="E62" s="257" t="s">
        <v>1</v>
      </c>
      <c r="F62" s="815">
        <f>'WORK SHEET'!F214</f>
        <v>0</v>
      </c>
      <c r="G62" s="816"/>
      <c r="H62" s="820" t="s">
        <v>434</v>
      </c>
      <c r="I62" s="821"/>
      <c r="J62" s="261">
        <f>'WORK SHEET'!I214</f>
        <v>0</v>
      </c>
      <c r="K62" s="261">
        <f>ROUND(C61*J62,0)</f>
        <v>0</v>
      </c>
      <c r="L62" s="261" t="e">
        <f>ROUND(D61*J62,0)</f>
        <v>#VALUE!</v>
      </c>
      <c r="M62" s="261">
        <f>ROUND(E61*J62,0)</f>
        <v>0</v>
      </c>
      <c r="N62" s="261">
        <f>ROUND(F61*J62,0)</f>
        <v>0</v>
      </c>
      <c r="O62" s="261" t="str">
        <f>IF('WORK SHEET'!D95=0," ",ROUND(G10*J61,0))</f>
        <v> </v>
      </c>
      <c r="P62" s="261" t="str">
        <f>IF('WORK SHEET'!D96=0," ",ROUND(H10*J62,0))</f>
        <v> </v>
      </c>
      <c r="Q62" s="261" t="str">
        <f>IF('WORK SHEET'!D97=0," ",ROUND(I10*J62,0))</f>
        <v> </v>
      </c>
      <c r="R62" s="261" t="e">
        <f>SUM(K62:Q62)</f>
        <v>#VALUE!</v>
      </c>
      <c r="S62" s="261"/>
      <c r="T62" s="261"/>
      <c r="U62" s="261"/>
      <c r="V62" s="264"/>
    </row>
    <row r="63" spans="1:22" s="283" customFormat="1" ht="18.75" customHeight="1">
      <c r="A63" s="280"/>
      <c r="B63" s="824"/>
      <c r="C63" s="825"/>
      <c r="D63" s="281"/>
      <c r="E63" s="282"/>
      <c r="F63" s="826"/>
      <c r="G63" s="827"/>
      <c r="H63" s="828" t="s">
        <v>148</v>
      </c>
      <c r="I63" s="829"/>
      <c r="J63" s="280"/>
      <c r="K63" s="279">
        <f>SUM(K34:K62)</f>
        <v>0</v>
      </c>
      <c r="L63" s="279" t="e">
        <f aca="true" t="shared" si="2" ref="L63:R63">SUM(L34:L62)</f>
        <v>#VALUE!</v>
      </c>
      <c r="M63" s="279">
        <f t="shared" si="2"/>
        <v>0</v>
      </c>
      <c r="N63" s="279">
        <f t="shared" si="2"/>
        <v>0</v>
      </c>
      <c r="O63" s="279">
        <f t="shared" si="2"/>
        <v>0</v>
      </c>
      <c r="P63" s="279">
        <f t="shared" si="2"/>
        <v>0</v>
      </c>
      <c r="Q63" s="279">
        <f t="shared" si="2"/>
        <v>0</v>
      </c>
      <c r="R63" s="279" t="e">
        <f t="shared" si="2"/>
        <v>#VALUE!</v>
      </c>
      <c r="S63" s="279"/>
      <c r="T63" s="279"/>
      <c r="U63" s="279"/>
      <c r="V63" s="279"/>
    </row>
  </sheetData>
  <sheetProtection selectLockedCells="1"/>
  <mergeCells count="48">
    <mergeCell ref="F50:G50"/>
    <mergeCell ref="H46:I46"/>
    <mergeCell ref="H50:I50"/>
    <mergeCell ref="H11:I11"/>
    <mergeCell ref="H15:I15"/>
    <mergeCell ref="C3:J3"/>
    <mergeCell ref="C4:J4"/>
    <mergeCell ref="F46:G46"/>
    <mergeCell ref="F15:G15"/>
    <mergeCell ref="F19:G19"/>
    <mergeCell ref="B63:C63"/>
    <mergeCell ref="F63:G63"/>
    <mergeCell ref="H63:I63"/>
    <mergeCell ref="F54:G54"/>
    <mergeCell ref="B62:C62"/>
    <mergeCell ref="H62:I62"/>
    <mergeCell ref="H58:I58"/>
    <mergeCell ref="H54:I54"/>
    <mergeCell ref="F58:G58"/>
    <mergeCell ref="F62:G62"/>
    <mergeCell ref="B46:C46"/>
    <mergeCell ref="B23:C23"/>
    <mergeCell ref="B50:C50"/>
    <mergeCell ref="B58:C58"/>
    <mergeCell ref="B27:C27"/>
    <mergeCell ref="B31:C31"/>
    <mergeCell ref="B38:C38"/>
    <mergeCell ref="B54:C54"/>
    <mergeCell ref="B42:C42"/>
    <mergeCell ref="H27:I27"/>
    <mergeCell ref="F31:G31"/>
    <mergeCell ref="F38:G38"/>
    <mergeCell ref="B11:C11"/>
    <mergeCell ref="B15:C15"/>
    <mergeCell ref="H19:I19"/>
    <mergeCell ref="F23:G23"/>
    <mergeCell ref="B19:C19"/>
    <mergeCell ref="H23:I23"/>
    <mergeCell ref="C6:J6"/>
    <mergeCell ref="U1:V1"/>
    <mergeCell ref="A1:T1"/>
    <mergeCell ref="F42:G42"/>
    <mergeCell ref="F11:G11"/>
    <mergeCell ref="F27:G27"/>
    <mergeCell ref="C33:J33"/>
    <mergeCell ref="H42:I42"/>
    <mergeCell ref="H38:I38"/>
    <mergeCell ref="H31:I31"/>
  </mergeCells>
  <printOptions horizontalCentered="1"/>
  <pageMargins left="0.39" right="0.39" top="0.38" bottom="1" header="0.31" footer="0.5"/>
  <pageSetup horizontalDpi="300" verticalDpi="300" orientation="landscape" paperSize="5" r:id="rId1"/>
  <rowBreaks count="1" manualBreakCount="1">
    <brk id="32" max="255" man="1"/>
  </rowBreaks>
</worksheet>
</file>

<file path=xl/worksheets/sheet9.xml><?xml version="1.0" encoding="utf-8"?>
<worksheet xmlns="http://schemas.openxmlformats.org/spreadsheetml/2006/main" xmlns:r="http://schemas.openxmlformats.org/officeDocument/2006/relationships">
  <sheetPr codeName="Sheet9"/>
  <dimension ref="A1:Y137"/>
  <sheetViews>
    <sheetView showZeros="0" zoomScalePageLayoutView="0" workbookViewId="0" topLeftCell="A14">
      <selection activeCell="V42" sqref="V42"/>
    </sheetView>
  </sheetViews>
  <sheetFormatPr defaultColWidth="9.140625" defaultRowHeight="12.75"/>
  <cols>
    <col min="1" max="1" width="10.00390625" style="0" customWidth="1"/>
    <col min="2" max="2" width="5.57421875" style="8" bestFit="1" customWidth="1"/>
    <col min="3" max="3" width="6.28125" style="0" customWidth="1"/>
    <col min="4" max="4" width="9.28125" style="0" customWidth="1"/>
    <col min="5" max="9" width="6.28125" style="0" customWidth="1"/>
    <col min="10" max="10" width="8.8515625" style="0" customWidth="1"/>
    <col min="11" max="11" width="9.00390625" style="0" customWidth="1"/>
    <col min="12" max="12" width="8.7109375" style="0" customWidth="1"/>
    <col min="13" max="13" width="7.7109375" style="0" bestFit="1" customWidth="1"/>
    <col min="14" max="14" width="8.7109375" style="0" bestFit="1" customWidth="1"/>
    <col min="15" max="15" width="5.7109375" style="0" customWidth="1"/>
    <col min="16" max="16" width="5.8515625" style="0" customWidth="1"/>
    <col min="17" max="17" width="5.00390625" style="0" customWidth="1"/>
    <col min="18" max="18" width="8.28125" style="0" customWidth="1"/>
    <col min="19" max="19" width="6.140625" style="0" customWidth="1"/>
    <col min="20" max="20" width="6.00390625" style="0" customWidth="1"/>
    <col min="21" max="21" width="6.7109375" style="0" customWidth="1"/>
    <col min="22" max="22" width="7.7109375" style="0" bestFit="1" customWidth="1"/>
    <col min="23" max="43" width="0" style="0" hidden="1" customWidth="1"/>
  </cols>
  <sheetData>
    <row r="1" spans="1:22" ht="18" customHeight="1">
      <c r="A1" s="861" t="str">
        <f>CONCATENATE("PRC-10 ARREAR OF ",'WORK SHEET'!E2,", ",'WORK SHEET'!E55,", ",'WORK SHEET'!E3,", ",'WORK SHEET'!E4,", ",'WORK SHEET'!E5," MANDAL"," FROM 01-07-2008 To")</f>
        <v>PRC-10 ARREAR OF P.BRAMHANANDA REDDY, , MPPS,, CHAKRAYAPALEM, ADDANKI MANDAL FROM 01-07-2008 To</v>
      </c>
      <c r="B1" s="861"/>
      <c r="C1" s="861"/>
      <c r="D1" s="861"/>
      <c r="E1" s="861"/>
      <c r="F1" s="861"/>
      <c r="G1" s="861"/>
      <c r="H1" s="861"/>
      <c r="I1" s="861"/>
      <c r="J1" s="861"/>
      <c r="K1" s="861"/>
      <c r="L1" s="861"/>
      <c r="M1" s="861"/>
      <c r="N1" s="861"/>
      <c r="O1" s="861"/>
      <c r="P1" s="861"/>
      <c r="Q1" s="861"/>
      <c r="R1" s="861"/>
      <c r="S1" s="861"/>
      <c r="T1" s="861"/>
      <c r="U1" s="853">
        <f>P17</f>
        <v>40817.01</v>
      </c>
      <c r="V1" s="853"/>
    </row>
    <row r="2" spans="1:22" s="78" customFormat="1" ht="38.25" customHeight="1">
      <c r="A2" s="333"/>
      <c r="B2" s="333" t="s">
        <v>140</v>
      </c>
      <c r="C2" s="810" t="s">
        <v>192</v>
      </c>
      <c r="D2" s="811"/>
      <c r="E2" s="811"/>
      <c r="F2" s="811"/>
      <c r="G2" s="811"/>
      <c r="H2" s="811"/>
      <c r="I2" s="811"/>
      <c r="J2" s="812"/>
      <c r="K2" s="333" t="s">
        <v>117</v>
      </c>
      <c r="L2" s="333" t="s">
        <v>161</v>
      </c>
      <c r="M2" s="333" t="s">
        <v>193</v>
      </c>
      <c r="N2" s="333" t="s">
        <v>206</v>
      </c>
      <c r="O2" s="333" t="str">
        <f>IF('WORK SHEET'!D95=0," ",'WORK SHEET'!E95)</f>
        <v> </v>
      </c>
      <c r="P2" s="333" t="str">
        <f>IF('WORK SHEET'!D96=0," ",'WORK SHEET'!E96)</f>
        <v> </v>
      </c>
      <c r="Q2" s="333"/>
      <c r="R2" s="337" t="s">
        <v>195</v>
      </c>
      <c r="S2" s="334" t="s">
        <v>196</v>
      </c>
      <c r="T2" s="334" t="s">
        <v>197</v>
      </c>
      <c r="U2" s="338" t="s">
        <v>198</v>
      </c>
      <c r="V2" s="334" t="s">
        <v>456</v>
      </c>
    </row>
    <row r="3" spans="1:22" s="331" customFormat="1" ht="12.75">
      <c r="A3" s="330"/>
      <c r="B3" s="330">
        <v>1</v>
      </c>
      <c r="C3" s="837">
        <v>2</v>
      </c>
      <c r="D3" s="838"/>
      <c r="E3" s="838"/>
      <c r="F3" s="838"/>
      <c r="G3" s="838"/>
      <c r="H3" s="838"/>
      <c r="I3" s="838"/>
      <c r="J3" s="839"/>
      <c r="K3" s="333">
        <v>3</v>
      </c>
      <c r="L3" s="333">
        <v>4</v>
      </c>
      <c r="M3" s="333">
        <v>5</v>
      </c>
      <c r="N3" s="333">
        <v>6</v>
      </c>
      <c r="O3" s="333">
        <v>7</v>
      </c>
      <c r="P3" s="333">
        <v>8</v>
      </c>
      <c r="Q3" s="333">
        <v>9</v>
      </c>
      <c r="R3" s="333">
        <v>10</v>
      </c>
      <c r="S3" s="333">
        <v>11</v>
      </c>
      <c r="T3" s="333">
        <v>12</v>
      </c>
      <c r="U3" s="333">
        <v>13</v>
      </c>
      <c r="V3" s="333">
        <v>14</v>
      </c>
    </row>
    <row r="4" spans="1:23" ht="15">
      <c r="A4" s="339"/>
      <c r="B4" s="345"/>
      <c r="C4" s="340"/>
      <c r="D4" s="340"/>
      <c r="E4" s="340"/>
      <c r="F4" s="340"/>
      <c r="G4" s="340"/>
      <c r="H4" s="340"/>
      <c r="I4" s="340"/>
      <c r="J4" s="340"/>
      <c r="K4" s="339" t="s">
        <v>534</v>
      </c>
      <c r="L4" s="340"/>
      <c r="M4" s="340"/>
      <c r="N4" s="340"/>
      <c r="O4" s="340"/>
      <c r="P4" s="340"/>
      <c r="Q4" s="340"/>
      <c r="R4" s="340"/>
      <c r="S4" s="340"/>
      <c r="T4" s="340"/>
      <c r="U4" s="340"/>
      <c r="V4" s="341"/>
      <c r="W4" s="329"/>
    </row>
    <row r="5" spans="1:22" ht="12.75">
      <c r="A5" s="307" t="str">
        <f>'BILL-NOTIONAL'!A5</f>
        <v>0718386</v>
      </c>
      <c r="B5" s="121">
        <v>1</v>
      </c>
      <c r="C5" s="122" t="str">
        <f>'WORK SHEET'!E2</f>
        <v>P.BRAMHANANDA REDDY</v>
      </c>
      <c r="D5" s="123"/>
      <c r="E5" s="123"/>
      <c r="F5" s="123"/>
      <c r="G5" s="123"/>
      <c r="H5" s="123"/>
      <c r="I5" s="305">
        <f>'WORK SHEET'!E55</f>
        <v>0</v>
      </c>
      <c r="J5" s="306"/>
      <c r="K5" s="131"/>
      <c r="L5" s="131"/>
      <c r="M5" s="131"/>
      <c r="N5" s="131"/>
      <c r="O5" s="131"/>
      <c r="P5" s="131"/>
      <c r="Q5" s="131"/>
      <c r="R5" s="131"/>
      <c r="S5" s="131"/>
      <c r="T5" s="131"/>
      <c r="U5" s="131"/>
      <c r="V5" s="131"/>
    </row>
    <row r="6" spans="1:22" ht="12.75">
      <c r="A6" s="307"/>
      <c r="B6" s="121"/>
      <c r="C6" s="854" t="e">
        <f>'BILL-NOTIONAL'!C6:J6</f>
        <v>#REF!</v>
      </c>
      <c r="D6" s="855"/>
      <c r="E6" s="855"/>
      <c r="F6" s="855"/>
      <c r="G6" s="855"/>
      <c r="H6" s="855"/>
      <c r="I6" s="855"/>
      <c r="J6" s="856"/>
      <c r="K6" s="131"/>
      <c r="L6" s="131"/>
      <c r="M6" s="131"/>
      <c r="N6" s="131"/>
      <c r="O6" s="131"/>
      <c r="P6" s="131"/>
      <c r="Q6" s="131"/>
      <c r="R6" s="131"/>
      <c r="S6" s="131"/>
      <c r="T6" s="131"/>
      <c r="U6" s="131"/>
      <c r="V6" s="131"/>
    </row>
    <row r="7" spans="1:22" s="8" customFormat="1" ht="12.75">
      <c r="A7" s="121"/>
      <c r="B7" s="121"/>
      <c r="C7" s="352" t="s">
        <v>200</v>
      </c>
      <c r="D7" s="352" t="s">
        <v>201</v>
      </c>
      <c r="E7" s="352" t="s">
        <v>202</v>
      </c>
      <c r="F7" s="352" t="s">
        <v>206</v>
      </c>
      <c r="G7" s="352"/>
      <c r="H7" s="352"/>
      <c r="I7" s="352"/>
      <c r="J7" s="352" t="s">
        <v>148</v>
      </c>
      <c r="K7" s="348"/>
      <c r="L7" s="348"/>
      <c r="M7" s="348"/>
      <c r="N7" s="348"/>
      <c r="O7" s="348"/>
      <c r="P7" s="348"/>
      <c r="Q7" s="348"/>
      <c r="R7" s="348"/>
      <c r="S7" s="348"/>
      <c r="T7" s="348"/>
      <c r="U7" s="348"/>
      <c r="V7" s="348"/>
    </row>
    <row r="8" spans="1:25" ht="12.75">
      <c r="A8" s="238" t="str">
        <f>CONCATENATE('WORK SHEET'!L223,"%")</f>
        <v>%</v>
      </c>
      <c r="B8" s="336" t="s">
        <v>203</v>
      </c>
      <c r="C8" s="138">
        <f>'WORK SHEET'!E223</f>
        <v>0</v>
      </c>
      <c r="D8" s="138" t="e">
        <f>ROUND(C8*A8,0)</f>
        <v>#VALUE!</v>
      </c>
      <c r="E8" s="138">
        <f>ROUND(C8*'WORK SHEET'!J223/100,0)</f>
        <v>0</v>
      </c>
      <c r="F8" s="138">
        <v>0</v>
      </c>
      <c r="G8" s="138"/>
      <c r="H8" s="138"/>
      <c r="I8" s="138"/>
      <c r="J8" s="138" t="e">
        <f>SUM(C8:I8)</f>
        <v>#VALUE!</v>
      </c>
      <c r="K8" s="138"/>
      <c r="L8" s="138"/>
      <c r="M8" s="138"/>
      <c r="N8" s="138"/>
      <c r="O8" s="138"/>
      <c r="P8" s="138"/>
      <c r="Q8" s="138"/>
      <c r="R8" s="138"/>
      <c r="S8" s="138"/>
      <c r="T8" s="138"/>
      <c r="U8" s="138"/>
      <c r="V8" s="138"/>
      <c r="W8" s="18"/>
      <c r="X8" s="18"/>
      <c r="Y8" s="18"/>
    </row>
    <row r="9" spans="1:25" ht="12.75">
      <c r="A9" s="238" t="str">
        <f>CONCATENATE('WORK SHEET'!K223,"%")</f>
        <v>%</v>
      </c>
      <c r="B9" s="336" t="s">
        <v>204</v>
      </c>
      <c r="C9" s="138">
        <f>'WORK SHEET'!M223</f>
        <v>0</v>
      </c>
      <c r="D9" s="138" t="e">
        <f>ROUND(C9*A9,0)</f>
        <v>#VALUE!</v>
      </c>
      <c r="E9" s="138">
        <f>ROUND(C9*'WORK SHEET'!J223/100,0)</f>
        <v>0</v>
      </c>
      <c r="F9" s="138">
        <f>ROUND(C9*22/100,0)</f>
        <v>0</v>
      </c>
      <c r="G9" s="138"/>
      <c r="H9" s="138"/>
      <c r="I9" s="138"/>
      <c r="J9" s="138" t="e">
        <f>SUM(C9:I9)</f>
        <v>#VALUE!</v>
      </c>
      <c r="K9" s="138"/>
      <c r="L9" s="138"/>
      <c r="M9" s="138"/>
      <c r="N9" s="138"/>
      <c r="O9" s="138"/>
      <c r="P9" s="138"/>
      <c r="Q9" s="138"/>
      <c r="R9" s="138"/>
      <c r="S9" s="138"/>
      <c r="T9" s="138"/>
      <c r="U9" s="138"/>
      <c r="V9" s="138"/>
      <c r="W9" s="18"/>
      <c r="X9" s="18"/>
      <c r="Y9" s="18"/>
    </row>
    <row r="10" spans="1:25" ht="12.75">
      <c r="A10" s="138" t="str">
        <f>CONCATENATE("HRA ",'WORK SHEET'!J223,"%")</f>
        <v>HRA %</v>
      </c>
      <c r="B10" s="336" t="s">
        <v>205</v>
      </c>
      <c r="C10" s="138">
        <f>C8-C9</f>
        <v>0</v>
      </c>
      <c r="D10" s="138" t="e">
        <f>D8-D9</f>
        <v>#VALUE!</v>
      </c>
      <c r="E10" s="138">
        <f>E8-E9</f>
        <v>0</v>
      </c>
      <c r="F10" s="138">
        <f>F8-F9</f>
        <v>0</v>
      </c>
      <c r="G10" s="138"/>
      <c r="H10" s="138"/>
      <c r="I10" s="138"/>
      <c r="J10" s="138" t="e">
        <f>J8-J9</f>
        <v>#VALUE!</v>
      </c>
      <c r="K10" s="138"/>
      <c r="L10" s="138"/>
      <c r="M10" s="138"/>
      <c r="N10" s="138"/>
      <c r="O10" s="138"/>
      <c r="P10" s="138"/>
      <c r="Q10" s="138"/>
      <c r="R10" s="138"/>
      <c r="S10" s="138"/>
      <c r="T10" s="138"/>
      <c r="U10" s="138"/>
      <c r="V10" s="138"/>
      <c r="W10" s="18"/>
      <c r="X10" s="18"/>
      <c r="Y10" s="18"/>
    </row>
    <row r="11" spans="1:25" ht="15" customHeight="1">
      <c r="A11" s="138"/>
      <c r="B11" s="849" t="s">
        <v>209</v>
      </c>
      <c r="C11" s="850"/>
      <c r="D11" s="239">
        <f>'WORK SHEET'!C223</f>
        <v>0</v>
      </c>
      <c r="E11" s="240" t="s">
        <v>1</v>
      </c>
      <c r="F11" s="851">
        <f>'WORK SHEET'!F223</f>
        <v>0</v>
      </c>
      <c r="G11" s="852"/>
      <c r="H11" s="832" t="s">
        <v>434</v>
      </c>
      <c r="I11" s="833"/>
      <c r="J11" s="241">
        <f>'WORK SHEET'!I223</f>
        <v>0</v>
      </c>
      <c r="K11" s="241">
        <f>ROUND(C10*J11,0)</f>
        <v>0</v>
      </c>
      <c r="L11" s="241" t="e">
        <f>ROUND(D10*J11,0)</f>
        <v>#VALUE!</v>
      </c>
      <c r="M11" s="241">
        <f>ROUND(E10*J11,0)</f>
        <v>0</v>
      </c>
      <c r="N11" s="241">
        <f>ROUND(F10*J11,0)</f>
        <v>0</v>
      </c>
      <c r="O11" s="241" t="str">
        <f>IF('WORK SHEET'!D95=0," ",ROUND(G10*J11,0))</f>
        <v> </v>
      </c>
      <c r="P11" s="241" t="str">
        <f>IF('WORK SHEET'!D96=0," ",ROUND(H10*J11,0))</f>
        <v> </v>
      </c>
      <c r="Q11" s="241" t="str">
        <f>IF('WORK SHEET'!D97=0," ",ROUND(I10*J11,0))</f>
        <v> </v>
      </c>
      <c r="R11" s="241" t="e">
        <f>SUM(K11:Q11)</f>
        <v>#VALUE!</v>
      </c>
      <c r="S11" s="241" t="str">
        <f>IF('WORK SHEET'!E121=1,R11," ")</f>
        <v> </v>
      </c>
      <c r="T11" s="241" t="e">
        <f>IF('WORK SHEET'!E121=2,R11," ")</f>
        <v>#VALUE!</v>
      </c>
      <c r="U11" s="241" t="e">
        <f>SUM(S11:T11)</f>
        <v>#VALUE!</v>
      </c>
      <c r="V11" s="241" t="e">
        <f>R11-U11</f>
        <v>#VALUE!</v>
      </c>
      <c r="W11" s="242"/>
      <c r="X11" s="242"/>
      <c r="Y11" s="242"/>
    </row>
    <row r="12" spans="1:25" ht="12.75">
      <c r="A12" s="243" t="str">
        <f>CONCATENATE('WORK SHEET'!L224,"%")</f>
        <v>%</v>
      </c>
      <c r="B12" s="346" t="s">
        <v>203</v>
      </c>
      <c r="C12" s="241">
        <f>'WORK SHEET'!E224</f>
        <v>0</v>
      </c>
      <c r="D12" s="241" t="e">
        <f>ROUND(C12*A12,0)</f>
        <v>#VALUE!</v>
      </c>
      <c r="E12" s="241">
        <f>ROUND(C12*'WORK SHEET'!J224/100,0)</f>
        <v>0</v>
      </c>
      <c r="F12" s="241">
        <v>0</v>
      </c>
      <c r="G12" s="241"/>
      <c r="H12" s="241"/>
      <c r="I12" s="241"/>
      <c r="J12" s="241" t="e">
        <f>SUM(C12:I12)</f>
        <v>#VALUE!</v>
      </c>
      <c r="K12" s="241"/>
      <c r="L12" s="241"/>
      <c r="M12" s="241"/>
      <c r="N12" s="241"/>
      <c r="O12" s="241"/>
      <c r="P12" s="241"/>
      <c r="Q12" s="241"/>
      <c r="R12" s="241"/>
      <c r="S12" s="241"/>
      <c r="T12" s="241"/>
      <c r="U12" s="241"/>
      <c r="V12" s="241"/>
      <c r="W12" s="242"/>
      <c r="X12" s="242"/>
      <c r="Y12" s="242"/>
    </row>
    <row r="13" spans="1:25" ht="12.75">
      <c r="A13" s="243" t="str">
        <f>CONCATENATE('WORK SHEET'!K224,"%")</f>
        <v>%</v>
      </c>
      <c r="B13" s="346" t="s">
        <v>204</v>
      </c>
      <c r="C13" s="241">
        <f>'WORK SHEET'!M224</f>
        <v>0</v>
      </c>
      <c r="D13" s="241" t="e">
        <f>ROUND(C13*A13,0)</f>
        <v>#VALUE!</v>
      </c>
      <c r="E13" s="241">
        <f>ROUND(C13*'WORK SHEET'!J224/100,0)</f>
        <v>0</v>
      </c>
      <c r="F13" s="241">
        <f>ROUND(C13*22/100,0)</f>
        <v>0</v>
      </c>
      <c r="G13" s="241"/>
      <c r="H13" s="241"/>
      <c r="I13" s="241"/>
      <c r="J13" s="241" t="e">
        <f>SUM(C13:I13)</f>
        <v>#VALUE!</v>
      </c>
      <c r="K13" s="241"/>
      <c r="L13" s="241"/>
      <c r="M13" s="241"/>
      <c r="N13" s="241"/>
      <c r="O13" s="241"/>
      <c r="P13" s="241"/>
      <c r="Q13" s="241"/>
      <c r="R13" s="241"/>
      <c r="S13" s="241"/>
      <c r="T13" s="241"/>
      <c r="U13" s="241"/>
      <c r="V13" s="241"/>
      <c r="W13" s="242"/>
      <c r="X13" s="242"/>
      <c r="Y13" s="242"/>
    </row>
    <row r="14" spans="1:25" ht="12.75">
      <c r="A14" s="241" t="str">
        <f>CONCATENATE("HRA ",'WORK SHEET'!J224,"%")</f>
        <v>HRA %</v>
      </c>
      <c r="B14" s="346" t="s">
        <v>205</v>
      </c>
      <c r="C14" s="241">
        <f>C12-C13</f>
        <v>0</v>
      </c>
      <c r="D14" s="241" t="e">
        <f>D12-D13</f>
        <v>#VALUE!</v>
      </c>
      <c r="E14" s="241">
        <f>E12-E13</f>
        <v>0</v>
      </c>
      <c r="F14" s="241">
        <f>F12-F13</f>
        <v>0</v>
      </c>
      <c r="G14" s="241"/>
      <c r="H14" s="241"/>
      <c r="I14" s="241"/>
      <c r="J14" s="241" t="e">
        <f>J12-J13</f>
        <v>#VALUE!</v>
      </c>
      <c r="K14" s="241"/>
      <c r="L14" s="241"/>
      <c r="M14" s="241"/>
      <c r="N14" s="241"/>
      <c r="O14" s="241"/>
      <c r="P14" s="241"/>
      <c r="Q14" s="241"/>
      <c r="R14" s="241"/>
      <c r="S14" s="241"/>
      <c r="T14" s="241"/>
      <c r="U14" s="241"/>
      <c r="V14" s="241"/>
      <c r="W14" s="242"/>
      <c r="X14" s="242"/>
      <c r="Y14" s="242"/>
    </row>
    <row r="15" spans="1:25" ht="12.75">
      <c r="A15" s="241"/>
      <c r="B15" s="849" t="s">
        <v>209</v>
      </c>
      <c r="C15" s="850"/>
      <c r="D15" s="239">
        <f>'WORK SHEET'!C224</f>
        <v>0</v>
      </c>
      <c r="E15" s="240" t="s">
        <v>1</v>
      </c>
      <c r="F15" s="851">
        <f>'WORK SHEET'!F224</f>
        <v>0</v>
      </c>
      <c r="G15" s="852"/>
      <c r="H15" s="832" t="s">
        <v>434</v>
      </c>
      <c r="I15" s="833"/>
      <c r="J15" s="241">
        <f>'WORK SHEET'!I224</f>
        <v>0</v>
      </c>
      <c r="K15" s="241">
        <f>ROUND(C14*J15,0)</f>
        <v>0</v>
      </c>
      <c r="L15" s="241" t="e">
        <f>ROUND(D14*J15,0)</f>
        <v>#VALUE!</v>
      </c>
      <c r="M15" s="241">
        <f>ROUND(E14*J15,0)</f>
        <v>0</v>
      </c>
      <c r="N15" s="241">
        <f>ROUND(F14*J15,0)</f>
        <v>0</v>
      </c>
      <c r="O15" s="241" t="str">
        <f>IF('WORK SHEET'!D95=0," ",ROUND(G10*J15,0))</f>
        <v> </v>
      </c>
      <c r="P15" s="241" t="str">
        <f>IF('WORK SHEET'!D96=0," ",ROUND(H10*J15,0))</f>
        <v> </v>
      </c>
      <c r="Q15" s="241" t="str">
        <f>IF('WORK SHEET'!D97=0," ",ROUND(I10*J15,0))</f>
        <v> </v>
      </c>
      <c r="R15" s="241" t="e">
        <f>SUM(K15:Q15)</f>
        <v>#VALUE!</v>
      </c>
      <c r="S15" s="241" t="str">
        <f>IF('WORK SHEET'!E121=1,R15," ")</f>
        <v> </v>
      </c>
      <c r="T15" s="241" t="e">
        <f>IF('WORK SHEET'!E121=2,R15," ")</f>
        <v>#VALUE!</v>
      </c>
      <c r="U15" s="241" t="e">
        <f>SUM(S15:T15)</f>
        <v>#VALUE!</v>
      </c>
      <c r="V15" s="241" t="e">
        <f>R15-U15</f>
        <v>#VALUE!</v>
      </c>
      <c r="W15" s="242"/>
      <c r="X15" s="242"/>
      <c r="Y15" s="242"/>
    </row>
    <row r="16" spans="1:22" s="113" customFormat="1" ht="12.75">
      <c r="A16" s="244"/>
      <c r="B16" s="269"/>
      <c r="C16" s="270"/>
      <c r="D16" s="245"/>
      <c r="E16" s="246"/>
      <c r="F16" s="859" t="s">
        <v>148</v>
      </c>
      <c r="G16" s="860"/>
      <c r="H16" s="271"/>
      <c r="I16" s="272"/>
      <c r="J16" s="244"/>
      <c r="K16" s="278">
        <f aca="true" t="shared" si="0" ref="K16:V16">SUM(K11:K15)</f>
        <v>0</v>
      </c>
      <c r="L16" s="278" t="e">
        <f t="shared" si="0"/>
        <v>#VALUE!</v>
      </c>
      <c r="M16" s="278">
        <f t="shared" si="0"/>
        <v>0</v>
      </c>
      <c r="N16" s="278">
        <f t="shared" si="0"/>
        <v>0</v>
      </c>
      <c r="O16" s="278">
        <f t="shared" si="0"/>
        <v>0</v>
      </c>
      <c r="P16" s="278">
        <f t="shared" si="0"/>
        <v>0</v>
      </c>
      <c r="Q16" s="278">
        <f t="shared" si="0"/>
        <v>0</v>
      </c>
      <c r="R16" s="278" t="e">
        <f>SUM(R11:R15)</f>
        <v>#VALUE!</v>
      </c>
      <c r="S16" s="278">
        <f t="shared" si="0"/>
        <v>0</v>
      </c>
      <c r="T16" s="278" t="e">
        <f t="shared" si="0"/>
        <v>#VALUE!</v>
      </c>
      <c r="U16" s="278" t="e">
        <f t="shared" si="0"/>
        <v>#VALUE!</v>
      </c>
      <c r="V16" s="278" t="e">
        <f t="shared" si="0"/>
        <v>#VALUE!</v>
      </c>
    </row>
    <row r="17" spans="2:23" ht="15.75" customHeight="1">
      <c r="B17" s="326"/>
      <c r="C17" s="300"/>
      <c r="D17" s="300"/>
      <c r="E17" s="300"/>
      <c r="F17" s="300"/>
      <c r="G17" s="300"/>
      <c r="H17" s="300"/>
      <c r="I17" s="300"/>
      <c r="K17" s="857" t="s">
        <v>443</v>
      </c>
      <c r="L17" s="857"/>
      <c r="M17" s="857"/>
      <c r="N17" s="857"/>
      <c r="O17" s="300" t="s">
        <v>1</v>
      </c>
      <c r="P17" s="858">
        <f>'WORK SHEET'!E136</f>
        <v>40817.01</v>
      </c>
      <c r="Q17" s="858"/>
      <c r="R17" s="857" t="str">
        <f>CONCATENATE("(",(J22+J26+J30)," ","Months",")",)</f>
        <v>(0 Months)</v>
      </c>
      <c r="S17" s="857"/>
      <c r="T17" s="300"/>
      <c r="U17" s="300"/>
      <c r="V17" s="300"/>
      <c r="W17" s="329"/>
    </row>
    <row r="18" spans="1:22" s="18" customFormat="1" ht="12" customHeight="1">
      <c r="A18" s="14"/>
      <c r="B18" s="335"/>
      <c r="C18" s="14" t="s">
        <v>200</v>
      </c>
      <c r="D18" s="14" t="s">
        <v>201</v>
      </c>
      <c r="E18" s="14" t="s">
        <v>202</v>
      </c>
      <c r="F18" s="14" t="s">
        <v>206</v>
      </c>
      <c r="G18" s="14" t="str">
        <f>IF('WORK SHEET'!D95=0," ",'WORK SHEET'!E95)</f>
        <v> </v>
      </c>
      <c r="H18" s="14" t="str">
        <f>IF('WORK SHEET'!D96=0," ",'WORK SHEET'!E96)</f>
        <v> </v>
      </c>
      <c r="I18" s="14" t="str">
        <f>IF('WORK SHEET'!D97=0," ",'WORK SHEET'!E97)</f>
        <v> </v>
      </c>
      <c r="J18" s="14" t="s">
        <v>148</v>
      </c>
      <c r="K18" s="138"/>
      <c r="L18" s="138"/>
      <c r="M18" s="138"/>
      <c r="N18" s="138"/>
      <c r="O18" s="138"/>
      <c r="P18" s="138"/>
      <c r="Q18" s="138"/>
      <c r="R18" s="138"/>
      <c r="S18" s="138"/>
      <c r="T18" s="138"/>
      <c r="U18" s="138"/>
      <c r="V18" s="138"/>
    </row>
    <row r="19" spans="1:22" s="18" customFormat="1" ht="12" customHeight="1">
      <c r="A19" s="238" t="str">
        <f>CONCATENATE('WORK SHEET'!L235,"%")</f>
        <v>%</v>
      </c>
      <c r="B19" s="336" t="s">
        <v>203</v>
      </c>
      <c r="C19" s="138">
        <f>'WORK SHEET'!E235</f>
        <v>0</v>
      </c>
      <c r="D19" s="138" t="e">
        <f>ROUND(C19*A19,0)</f>
        <v>#VALUE!</v>
      </c>
      <c r="E19" s="138">
        <f>ROUND(C19*'WORK SHEET'!J235/100,0)</f>
        <v>0</v>
      </c>
      <c r="F19" s="138">
        <v>0</v>
      </c>
      <c r="G19" s="138"/>
      <c r="H19" s="138"/>
      <c r="I19" s="138"/>
      <c r="J19" s="138" t="e">
        <f>SUM(C19:I19)</f>
        <v>#VALUE!</v>
      </c>
      <c r="K19" s="138"/>
      <c r="L19" s="138"/>
      <c r="M19" s="138"/>
      <c r="N19" s="138"/>
      <c r="O19" s="138"/>
      <c r="P19" s="138"/>
      <c r="Q19" s="138"/>
      <c r="R19" s="138"/>
      <c r="S19" s="138"/>
      <c r="T19" s="138"/>
      <c r="U19" s="138"/>
      <c r="V19" s="138"/>
    </row>
    <row r="20" spans="1:22" s="18" customFormat="1" ht="12" customHeight="1">
      <c r="A20" s="238" t="str">
        <f>CONCATENATE('WORK SHEET'!K235,"%")</f>
        <v>%</v>
      </c>
      <c r="B20" s="336" t="s">
        <v>204</v>
      </c>
      <c r="C20" s="138">
        <f>'WORK SHEET'!M235</f>
        <v>0</v>
      </c>
      <c r="D20" s="138" t="e">
        <f>ROUND(C20*A20,0)</f>
        <v>#VALUE!</v>
      </c>
      <c r="E20" s="138">
        <f>ROUND(C20*'WORK SHEET'!J235/100,0)</f>
        <v>0</v>
      </c>
      <c r="F20" s="138">
        <f>ROUND(C20*22/100,0)</f>
        <v>0</v>
      </c>
      <c r="G20" s="138"/>
      <c r="H20" s="138"/>
      <c r="I20" s="138"/>
      <c r="J20" s="138" t="e">
        <f>SUM(C20:I20)</f>
        <v>#VALUE!</v>
      </c>
      <c r="K20" s="138"/>
      <c r="L20" s="138"/>
      <c r="M20" s="138"/>
      <c r="N20" s="138"/>
      <c r="O20" s="138"/>
      <c r="P20" s="138"/>
      <c r="Q20" s="138"/>
      <c r="R20" s="138"/>
      <c r="S20" s="138"/>
      <c r="T20" s="138"/>
      <c r="U20" s="138"/>
      <c r="V20" s="138"/>
    </row>
    <row r="21" spans="1:22" s="18" customFormat="1" ht="12" customHeight="1">
      <c r="A21" s="138" t="str">
        <f>CONCATENATE("HRA ",'WORK SHEET'!J235,"%")</f>
        <v>HRA %</v>
      </c>
      <c r="B21" s="336" t="s">
        <v>205</v>
      </c>
      <c r="C21" s="138">
        <f>C19-C20</f>
        <v>0</v>
      </c>
      <c r="D21" s="138" t="e">
        <f>D19-D20</f>
        <v>#VALUE!</v>
      </c>
      <c r="E21" s="138">
        <f>E19-E20</f>
        <v>0</v>
      </c>
      <c r="F21" s="138">
        <f>F19-F20</f>
        <v>0</v>
      </c>
      <c r="G21" s="138"/>
      <c r="H21" s="138"/>
      <c r="I21" s="138"/>
      <c r="J21" s="138" t="e">
        <f>J19-J20</f>
        <v>#VALUE!</v>
      </c>
      <c r="K21" s="138"/>
      <c r="L21" s="138"/>
      <c r="M21" s="138"/>
      <c r="N21" s="138"/>
      <c r="O21" s="138"/>
      <c r="P21" s="138"/>
      <c r="Q21" s="138"/>
      <c r="R21" s="138"/>
      <c r="S21" s="138"/>
      <c r="T21" s="138"/>
      <c r="U21" s="138"/>
      <c r="V21" s="138"/>
    </row>
    <row r="22" spans="1:22" s="242" customFormat="1" ht="12" customHeight="1">
      <c r="A22" s="301">
        <f>'WORK SHEET'!D202</f>
        <v>0</v>
      </c>
      <c r="B22" s="849" t="s">
        <v>209</v>
      </c>
      <c r="C22" s="850"/>
      <c r="D22" s="239">
        <f>'WORK SHEET'!C235</f>
        <v>0</v>
      </c>
      <c r="E22" s="240" t="s">
        <v>1</v>
      </c>
      <c r="F22" s="851">
        <f>'WORK SHEET'!F235</f>
        <v>0</v>
      </c>
      <c r="G22" s="852"/>
      <c r="H22" s="832" t="s">
        <v>434</v>
      </c>
      <c r="I22" s="833"/>
      <c r="J22" s="241">
        <f>'WORK SHEET'!I235</f>
        <v>0</v>
      </c>
      <c r="K22" s="241">
        <f>ROUND(C21*J22,0)</f>
        <v>0</v>
      </c>
      <c r="L22" s="241" t="e">
        <f>ROUND(D21*J22,0)</f>
        <v>#VALUE!</v>
      </c>
      <c r="M22" s="241">
        <f>ROUND(E21*J22,0)</f>
        <v>0</v>
      </c>
      <c r="N22" s="241">
        <f>ROUND(F21*J22,0)</f>
        <v>0</v>
      </c>
      <c r="O22" s="241" t="str">
        <f>IF('WORK SHEET'!D95=0," ",ROUND(G21*J22,0))</f>
        <v> </v>
      </c>
      <c r="P22" s="241" t="str">
        <f>IF('WORK SHEET'!D96=0," ",ROUND(H21*J22,0))</f>
        <v> </v>
      </c>
      <c r="Q22" s="241" t="str">
        <f>IF('WORK SHEET'!D97=0," ",ROUND(I21*J22,0))</f>
        <v> </v>
      </c>
      <c r="R22" s="241" t="e">
        <f>SUM(K22:Q22)</f>
        <v>#VALUE!</v>
      </c>
      <c r="S22" s="241"/>
      <c r="T22" s="241"/>
      <c r="U22" s="241">
        <v>0</v>
      </c>
      <c r="V22" s="241" t="e">
        <f>R22-U22</f>
        <v>#VALUE!</v>
      </c>
    </row>
    <row r="23" spans="1:22" s="242" customFormat="1" ht="12" customHeight="1">
      <c r="A23" s="243" t="str">
        <f>CONCATENATE('WORK SHEET'!L236,"%")</f>
        <v>%</v>
      </c>
      <c r="B23" s="346" t="s">
        <v>203</v>
      </c>
      <c r="C23" s="241">
        <f>'WORK SHEET'!E236</f>
        <v>0</v>
      </c>
      <c r="D23" s="241" t="e">
        <f>ROUND(C23*A23,0)</f>
        <v>#VALUE!</v>
      </c>
      <c r="E23" s="241">
        <f>ROUND(C23*'WORK SHEET'!J236/100,0)</f>
        <v>0</v>
      </c>
      <c r="F23" s="241">
        <v>0</v>
      </c>
      <c r="G23" s="241" t="str">
        <f>IF(D26=40269,IF('WORK SHEET'!D95=0," ",IF(C23=0,0,IF('WORK SHEET'!D95=5,'WORK SHEET'!F116,'WORK SHEET'!G95)))," ")</f>
        <v> </v>
      </c>
      <c r="H23" s="241" t="str">
        <f>IF(D26=40269,IF('WORK SHEET'!D96=0," ",IF(C23=0,0,IF('WORK SHEET'!D96=5,'WORK SHEET'!F116,'WORK SHEET'!G96)))," ")</f>
        <v> </v>
      </c>
      <c r="I23" s="241" t="str">
        <f>IF(D26=40269,IF('WORK SHEET'!D97=0," ",IF(C23=0,0,IF('WORK SHEET'!D97=5,'WORK SHEET'!F116,'WORK SHEET'!G97)))," ")</f>
        <v> </v>
      </c>
      <c r="J23" s="241" t="e">
        <f>SUM(C23:I23)</f>
        <v>#VALUE!</v>
      </c>
      <c r="K23" s="241"/>
      <c r="L23" s="241"/>
      <c r="M23" s="241"/>
      <c r="N23" s="241"/>
      <c r="O23" s="241"/>
      <c r="P23" s="241"/>
      <c r="Q23" s="241"/>
      <c r="R23" s="241"/>
      <c r="S23" s="241"/>
      <c r="T23" s="241"/>
      <c r="U23" s="241"/>
      <c r="V23" s="241"/>
    </row>
    <row r="24" spans="1:22" s="242" customFormat="1" ht="12" customHeight="1">
      <c r="A24" s="243" t="str">
        <f>CONCATENATE('WORK SHEET'!K236,"%")</f>
        <v>%</v>
      </c>
      <c r="B24" s="346" t="s">
        <v>204</v>
      </c>
      <c r="C24" s="241">
        <f>'WORK SHEET'!M236</f>
        <v>0</v>
      </c>
      <c r="D24" s="241" t="e">
        <f>ROUND(C24*A24,0)</f>
        <v>#VALUE!</v>
      </c>
      <c r="E24" s="241">
        <f>ROUND(C24*'WORK SHEET'!J236/100,0)</f>
        <v>0</v>
      </c>
      <c r="F24" s="241">
        <f>ROUND(C24*22/100,0)</f>
        <v>0</v>
      </c>
      <c r="G24" s="241" t="str">
        <f>IF(D26=40269,IF('WORK SHEET'!D95=0," ",IF(C23=0,0,IF('WORK SHEET'!D95=1,MIN(ROUND(C24*10%,0),'WORK SHEET'!F95),IF('WORK SHEET'!D95=5,'WORK SHEET'!J116,'WORK SHEET'!F95))))," ")</f>
        <v> </v>
      </c>
      <c r="H24" s="241" t="str">
        <f>IF(D26=40269,IF('WORK SHEET'!D96=0," ",IF(C23=0,0,IF('WORK SHEET'!D96=1,MIN(ROUND(C24*10%,0),'WORK SHEET'!F96),IF('WORK SHEET'!D96=5,'WORK SHEET'!J116,'WORK SHEET'!F96))))," ")</f>
        <v> </v>
      </c>
      <c r="I24" s="241" t="str">
        <f>IF(D26=40269,IF('WORK SHEET'!D97=0," ",IF(C23=0,0,IF('WORK SHEET'!D97=1,MIN(ROUND(C24*10%,0),'WORK SHEET'!F97),IF('WORK SHEET'!D97=5,'WORK SHEET'!J116,'WORK SHEET'!F97))))," ")</f>
        <v> </v>
      </c>
      <c r="J24" s="241" t="e">
        <f>SUM(C24:I24)</f>
        <v>#VALUE!</v>
      </c>
      <c r="K24" s="241"/>
      <c r="L24" s="241"/>
      <c r="M24" s="241"/>
      <c r="N24" s="241"/>
      <c r="O24" s="241"/>
      <c r="P24" s="241"/>
      <c r="Q24" s="241"/>
      <c r="R24" s="241"/>
      <c r="S24" s="241"/>
      <c r="T24" s="241"/>
      <c r="U24" s="241"/>
      <c r="V24" s="241"/>
    </row>
    <row r="25" spans="1:22" s="242" customFormat="1" ht="12" customHeight="1">
      <c r="A25" s="241" t="str">
        <f>CONCATENATE("HRA ",'WORK SHEET'!J236,"%")</f>
        <v>HRA %</v>
      </c>
      <c r="B25" s="346" t="s">
        <v>205</v>
      </c>
      <c r="C25" s="241">
        <f>C23-C24</f>
        <v>0</v>
      </c>
      <c r="D25" s="241" t="e">
        <f>D23-D24</f>
        <v>#VALUE!</v>
      </c>
      <c r="E25" s="241">
        <f>E23-E24</f>
        <v>0</v>
      </c>
      <c r="F25" s="241">
        <f>F23-F24</f>
        <v>0</v>
      </c>
      <c r="G25" s="241" t="str">
        <f>IF('WORK SHEET'!D95=0," ",G23-G24)</f>
        <v> </v>
      </c>
      <c r="H25" s="241" t="str">
        <f>IF('WORK SHEET'!D96=0," ",H23-H24)</f>
        <v> </v>
      </c>
      <c r="I25" s="241" t="str">
        <f>IF('WORK SHEET'!D97=0," ",I23-I24)</f>
        <v> </v>
      </c>
      <c r="J25" s="241" t="e">
        <f>J23-J24</f>
        <v>#VALUE!</v>
      </c>
      <c r="K25" s="241"/>
      <c r="L25" s="241"/>
      <c r="M25" s="241"/>
      <c r="N25" s="241"/>
      <c r="O25" s="241"/>
      <c r="P25" s="241"/>
      <c r="Q25" s="241"/>
      <c r="R25" s="241"/>
      <c r="S25" s="241"/>
      <c r="T25" s="241"/>
      <c r="U25" s="241"/>
      <c r="V25" s="241"/>
    </row>
    <row r="26" spans="1:22" s="242" customFormat="1" ht="12" customHeight="1">
      <c r="A26" s="301">
        <f>'WORK SHEET'!D203</f>
        <v>0</v>
      </c>
      <c r="B26" s="849" t="s">
        <v>209</v>
      </c>
      <c r="C26" s="850"/>
      <c r="D26" s="239">
        <f>'WORK SHEET'!C236</f>
        <v>0</v>
      </c>
      <c r="E26" s="240" t="s">
        <v>1</v>
      </c>
      <c r="F26" s="851">
        <f>'WORK SHEET'!F236</f>
        <v>0</v>
      </c>
      <c r="G26" s="852"/>
      <c r="H26" s="832" t="s">
        <v>434</v>
      </c>
      <c r="I26" s="833"/>
      <c r="J26" s="241">
        <f>'WORK SHEET'!I236</f>
        <v>0</v>
      </c>
      <c r="K26" s="241">
        <f>ROUND(C25*J26,0)</f>
        <v>0</v>
      </c>
      <c r="L26" s="241" t="e">
        <f>ROUND(D25*J26,0)</f>
        <v>#VALUE!</v>
      </c>
      <c r="M26" s="241">
        <f>ROUND(E25*J26,0)</f>
        <v>0</v>
      </c>
      <c r="N26" s="241">
        <f>ROUND(F25*J26,0)</f>
        <v>0</v>
      </c>
      <c r="O26" s="241" t="str">
        <f>IF('WORK SHEET'!D95=0," ",ROUND(G25*J26,0))</f>
        <v> </v>
      </c>
      <c r="P26" s="241" t="str">
        <f>IF('WORK SHEET'!D96=0," ",ROUND(H25*J26,0))</f>
        <v> </v>
      </c>
      <c r="Q26" s="241" t="str">
        <f>IF('WORK SHEET'!D97=0," ",ROUND(I25*J26,0))</f>
        <v> </v>
      </c>
      <c r="R26" s="241" t="e">
        <f>SUM(K26:Q26)</f>
        <v>#VALUE!</v>
      </c>
      <c r="S26" s="241"/>
      <c r="T26" s="241"/>
      <c r="U26" s="241">
        <v>0</v>
      </c>
      <c r="V26" s="241" t="e">
        <f>R26-U26</f>
        <v>#VALUE!</v>
      </c>
    </row>
    <row r="27" spans="1:22" s="242" customFormat="1" ht="12" customHeight="1" hidden="1">
      <c r="A27" s="243" t="str">
        <f>CONCATENATE('WORK SHEET'!L237,"%")</f>
        <v>%</v>
      </c>
      <c r="B27" s="346" t="s">
        <v>203</v>
      </c>
      <c r="C27" s="241">
        <f>'WORK SHEET'!E237</f>
        <v>0</v>
      </c>
      <c r="D27" s="241" t="e">
        <f>ROUND(C27*A27,0)</f>
        <v>#VALUE!</v>
      </c>
      <c r="E27" s="241">
        <f>ROUND(C27*'WORK SHEET'!J237/100,0)</f>
        <v>0</v>
      </c>
      <c r="F27" s="241">
        <v>0</v>
      </c>
      <c r="G27" s="241" t="str">
        <f>IF('WORK SHEET'!D95=0," ",IF(C27=0,0,IF('WORK SHEET'!D95=5,'WORK SHEET'!F120,'WORK SHEET'!G99)))</f>
        <v> </v>
      </c>
      <c r="H27" s="241" t="str">
        <f>IF('WORK SHEET'!D96=0," ",IF(C27=0,0,IF('WORK SHEET'!D96=5,'WORK SHEET'!F120,'WORK SHEET'!G96)))</f>
        <v> </v>
      </c>
      <c r="I27" s="241" t="str">
        <f>IF('WORK SHEET'!D97=0," ",IF(C27=0,0,IF('WORK SHEET'!D97=5,'WORK SHEET'!F120,'WORK SHEET'!G97)))</f>
        <v> </v>
      </c>
      <c r="J27" s="241" t="e">
        <f>SUM(C27:I27)</f>
        <v>#VALUE!</v>
      </c>
      <c r="K27" s="241"/>
      <c r="L27" s="241"/>
      <c r="M27" s="241"/>
      <c r="N27" s="241"/>
      <c r="O27" s="241"/>
      <c r="P27" s="241"/>
      <c r="Q27" s="241"/>
      <c r="R27" s="241"/>
      <c r="S27" s="241"/>
      <c r="T27" s="241"/>
      <c r="U27" s="241"/>
      <c r="V27" s="241"/>
    </row>
    <row r="28" spans="1:22" s="242" customFormat="1" ht="12" customHeight="1" hidden="1">
      <c r="A28" s="243" t="str">
        <f>CONCATENATE('WORK SHEET'!K237,"%")</f>
        <v>%</v>
      </c>
      <c r="B28" s="346" t="s">
        <v>204</v>
      </c>
      <c r="C28" s="241">
        <f>'WORK SHEET'!M237</f>
        <v>0</v>
      </c>
      <c r="D28" s="241" t="e">
        <f>ROUND(C28*A28,0)</f>
        <v>#VALUE!</v>
      </c>
      <c r="E28" s="241">
        <f>ROUND(C28*'WORK SHEET'!J237/100,0)</f>
        <v>0</v>
      </c>
      <c r="F28" s="241">
        <f>ROUND(C28*22/100,0)</f>
        <v>0</v>
      </c>
      <c r="G28" s="241" t="str">
        <f>IF('WORK SHEET'!D95=0," ",IF(C27=0,0,IF('WORK SHEET'!D95=1,MIN(ROUND(C28*10%,0),'WORK SHEET'!F95),IF('WORK SHEET'!D95=5,'WORK SHEET'!J120,'WORK SHEET'!F95))))</f>
        <v> </v>
      </c>
      <c r="H28" s="241" t="str">
        <f>IF('WORK SHEET'!D96=0," ",IF(C27=0,0,IF('WORK SHEET'!D96=1,MIN(ROUND(C28*10%,0),'WORK SHEET'!F96),IF('WORK SHEET'!D96=5,'WORK SHEET'!J120,'WORK SHEET'!F96))))</f>
        <v> </v>
      </c>
      <c r="I28" s="241" t="str">
        <f>IF('WORK SHEET'!D97=0," ",IF(C27=0,0,IF('WORK SHEET'!D97=1,MIN(ROUND(C28*10%,0),'WORK SHEET'!F97),IF('WORK SHEET'!D97=5,'WORK SHEET'!J120,'WORK SHEET'!F97))))</f>
        <v> </v>
      </c>
      <c r="J28" s="241" t="e">
        <f>SUM(C28:I28)</f>
        <v>#VALUE!</v>
      </c>
      <c r="K28" s="241"/>
      <c r="L28" s="241"/>
      <c r="M28" s="241"/>
      <c r="N28" s="241"/>
      <c r="O28" s="241"/>
      <c r="P28" s="241"/>
      <c r="Q28" s="241"/>
      <c r="R28" s="241"/>
      <c r="S28" s="241"/>
      <c r="T28" s="241"/>
      <c r="U28" s="241"/>
      <c r="V28" s="241"/>
    </row>
    <row r="29" spans="1:22" s="242" customFormat="1" ht="12" customHeight="1" hidden="1">
      <c r="A29" s="241" t="str">
        <f>CONCATENATE("HRA ",'WORK SHEET'!J237,"%")</f>
        <v>HRA %</v>
      </c>
      <c r="B29" s="346" t="s">
        <v>205</v>
      </c>
      <c r="C29" s="241">
        <f>C27-C28</f>
        <v>0</v>
      </c>
      <c r="D29" s="241" t="e">
        <f>D27-D28</f>
        <v>#VALUE!</v>
      </c>
      <c r="E29" s="241">
        <f>E27-E28</f>
        <v>0</v>
      </c>
      <c r="F29" s="241">
        <f>F27-F28</f>
        <v>0</v>
      </c>
      <c r="G29" s="241" t="str">
        <f>IF('WORK SHEET'!D95=0," ",G27-G28)</f>
        <v> </v>
      </c>
      <c r="H29" s="241" t="str">
        <f>IF('WORK SHEET'!D96=0," ",H27-H28)</f>
        <v> </v>
      </c>
      <c r="I29" s="241" t="str">
        <f>IF('WORK SHEET'!D97=0," ",I27-I28)</f>
        <v> </v>
      </c>
      <c r="J29" s="241" t="e">
        <f>J27-J28</f>
        <v>#VALUE!</v>
      </c>
      <c r="K29" s="241"/>
      <c r="L29" s="241"/>
      <c r="M29" s="241"/>
      <c r="N29" s="241"/>
      <c r="O29" s="241"/>
      <c r="P29" s="241"/>
      <c r="Q29" s="241"/>
      <c r="R29" s="241"/>
      <c r="S29" s="241"/>
      <c r="T29" s="241"/>
      <c r="U29" s="241"/>
      <c r="V29" s="241"/>
    </row>
    <row r="30" spans="1:22" s="242" customFormat="1" ht="12" customHeight="1" hidden="1">
      <c r="A30" s="301">
        <f>'WORK SHEET'!D207</f>
        <v>0</v>
      </c>
      <c r="B30" s="849" t="s">
        <v>209</v>
      </c>
      <c r="C30" s="850"/>
      <c r="D30" s="239">
        <f>'WORK SHEET'!C237</f>
        <v>0</v>
      </c>
      <c r="E30" s="240" t="s">
        <v>1</v>
      </c>
      <c r="F30" s="851">
        <f>'WORK SHEET'!F237</f>
        <v>0</v>
      </c>
      <c r="G30" s="852"/>
      <c r="H30" s="832" t="s">
        <v>434</v>
      </c>
      <c r="I30" s="833"/>
      <c r="J30" s="241">
        <f>'WORK SHEET'!I240</f>
        <v>0</v>
      </c>
      <c r="K30" s="241">
        <f>ROUND(C29*J30,0)</f>
        <v>0</v>
      </c>
      <c r="L30" s="241" t="e">
        <f>ROUND(D29*J30,0)</f>
        <v>#VALUE!</v>
      </c>
      <c r="M30" s="241">
        <f>ROUND(E29*J30,0)</f>
        <v>0</v>
      </c>
      <c r="N30" s="241">
        <f>ROUND(F29*J30,0)</f>
        <v>0</v>
      </c>
      <c r="O30" s="241" t="str">
        <f>IF('WORK SHEET'!D99=0," ",ROUND(G29*J30,0))</f>
        <v> </v>
      </c>
      <c r="P30" s="241" t="str">
        <f>IF('WORK SHEET'!D100=0," ",ROUND(H29*J30,0))</f>
        <v> </v>
      </c>
      <c r="Q30" s="241" t="str">
        <f>IF('WORK SHEET'!D101=0," ",ROUND(I29*J30,0))</f>
        <v> </v>
      </c>
      <c r="R30" s="241" t="e">
        <f>SUM(K30:Q30)</f>
        <v>#VALUE!</v>
      </c>
      <c r="S30" s="241"/>
      <c r="T30" s="241"/>
      <c r="U30" s="241">
        <v>0</v>
      </c>
      <c r="V30" s="241" t="e">
        <f>R30-U30</f>
        <v>#VALUE!</v>
      </c>
    </row>
    <row r="31" spans="1:22" s="287" customFormat="1" ht="12" customHeight="1">
      <c r="A31" s="284"/>
      <c r="B31" s="835"/>
      <c r="C31" s="836"/>
      <c r="D31" s="285"/>
      <c r="E31" s="286"/>
      <c r="F31" s="845"/>
      <c r="G31" s="846"/>
      <c r="H31" s="847" t="s">
        <v>148</v>
      </c>
      <c r="I31" s="848"/>
      <c r="J31" s="284"/>
      <c r="K31" s="278">
        <f aca="true" t="shared" si="1" ref="K31:V31">SUM(K18:K26)</f>
        <v>0</v>
      </c>
      <c r="L31" s="278" t="e">
        <f t="shared" si="1"/>
        <v>#VALUE!</v>
      </c>
      <c r="M31" s="278">
        <f t="shared" si="1"/>
        <v>0</v>
      </c>
      <c r="N31" s="278">
        <f t="shared" si="1"/>
        <v>0</v>
      </c>
      <c r="O31" s="278">
        <f t="shared" si="1"/>
        <v>0</v>
      </c>
      <c r="P31" s="278">
        <f t="shared" si="1"/>
        <v>0</v>
      </c>
      <c r="Q31" s="278">
        <f t="shared" si="1"/>
        <v>0</v>
      </c>
      <c r="R31" s="278" t="e">
        <f t="shared" si="1"/>
        <v>#VALUE!</v>
      </c>
      <c r="S31" s="278">
        <f t="shared" si="1"/>
        <v>0</v>
      </c>
      <c r="T31" s="278">
        <f t="shared" si="1"/>
        <v>0</v>
      </c>
      <c r="U31" s="278">
        <f t="shared" si="1"/>
        <v>0</v>
      </c>
      <c r="V31" s="278" t="e">
        <f t="shared" si="1"/>
        <v>#VALUE!</v>
      </c>
    </row>
    <row r="32" spans="1:22" ht="12.75">
      <c r="A32" s="841" t="str">
        <f>'WORK SHEET'!AJ143</f>
        <v>RUPEES ZERO ONLY</v>
      </c>
      <c r="B32" s="841"/>
      <c r="C32" s="841"/>
      <c r="D32" s="841"/>
      <c r="E32" s="841"/>
      <c r="F32" s="841"/>
      <c r="G32" s="841"/>
      <c r="H32" s="841"/>
      <c r="I32" s="841"/>
      <c r="J32" s="841"/>
      <c r="K32" s="841"/>
      <c r="L32" s="841"/>
      <c r="M32" s="841"/>
      <c r="N32" s="841"/>
      <c r="O32" s="841"/>
      <c r="P32" s="841"/>
      <c r="Q32" s="841"/>
      <c r="R32" s="841"/>
      <c r="S32" s="841"/>
      <c r="T32" s="841"/>
      <c r="U32" s="841"/>
      <c r="V32" s="841"/>
    </row>
    <row r="33" ht="13.5" customHeight="1"/>
    <row r="34" spans="1:22" ht="15.75">
      <c r="A34" s="840" t="s">
        <v>321</v>
      </c>
      <c r="B34" s="840"/>
      <c r="C34" s="840"/>
      <c r="D34" s="840"/>
      <c r="E34" s="840"/>
      <c r="F34" s="840"/>
      <c r="G34" s="840"/>
      <c r="H34" s="840"/>
      <c r="I34" s="840"/>
      <c r="J34" s="840"/>
      <c r="K34" s="840"/>
      <c r="L34" s="840"/>
      <c r="M34" s="840"/>
      <c r="N34" s="840"/>
      <c r="O34" s="840"/>
      <c r="P34" s="840"/>
      <c r="Q34" s="840"/>
      <c r="R34" s="840"/>
      <c r="S34" s="840"/>
      <c r="T34" s="840"/>
      <c r="U34" s="840"/>
      <c r="V34" s="840"/>
    </row>
    <row r="35" spans="1:22" ht="36.75" customHeight="1">
      <c r="A35" s="119"/>
      <c r="B35" s="347" t="s">
        <v>140</v>
      </c>
      <c r="C35" s="562" t="s">
        <v>425</v>
      </c>
      <c r="D35" s="563"/>
      <c r="E35" s="563"/>
      <c r="F35" s="563"/>
      <c r="G35" s="563"/>
      <c r="H35" s="563"/>
      <c r="I35" s="563"/>
      <c r="J35" s="662"/>
      <c r="K35" s="119" t="s">
        <v>117</v>
      </c>
      <c r="L35" s="119" t="s">
        <v>161</v>
      </c>
      <c r="M35" s="119" t="s">
        <v>193</v>
      </c>
      <c r="N35" s="119" t="s">
        <v>206</v>
      </c>
      <c r="O35" s="119" t="s">
        <v>311</v>
      </c>
      <c r="P35" s="119" t="s">
        <v>194</v>
      </c>
      <c r="Q35" s="119"/>
      <c r="R35" s="137" t="s">
        <v>195</v>
      </c>
      <c r="S35" s="116" t="s">
        <v>196</v>
      </c>
      <c r="T35" s="129" t="s">
        <v>197</v>
      </c>
      <c r="U35" s="129" t="s">
        <v>198</v>
      </c>
      <c r="V35" s="129" t="s">
        <v>199</v>
      </c>
    </row>
    <row r="36" spans="1:22" s="331" customFormat="1" ht="12.75">
      <c r="A36" s="330"/>
      <c r="B36" s="330">
        <v>1</v>
      </c>
      <c r="C36" s="837">
        <v>2</v>
      </c>
      <c r="D36" s="838"/>
      <c r="E36" s="838"/>
      <c r="F36" s="838"/>
      <c r="G36" s="838"/>
      <c r="H36" s="838"/>
      <c r="I36" s="838"/>
      <c r="J36" s="839"/>
      <c r="K36" s="333">
        <v>3</v>
      </c>
      <c r="L36" s="333">
        <v>4</v>
      </c>
      <c r="M36" s="333">
        <v>5</v>
      </c>
      <c r="N36" s="333">
        <v>6</v>
      </c>
      <c r="O36" s="333">
        <v>7</v>
      </c>
      <c r="P36" s="333">
        <v>8</v>
      </c>
      <c r="Q36" s="333">
        <v>9</v>
      </c>
      <c r="R36" s="333">
        <v>10</v>
      </c>
      <c r="S36" s="333">
        <v>11</v>
      </c>
      <c r="T36" s="333">
        <v>12</v>
      </c>
      <c r="U36" s="333">
        <v>13</v>
      </c>
      <c r="V36" s="333">
        <v>14</v>
      </c>
    </row>
    <row r="37" spans="1:22" ht="12.75">
      <c r="A37" s="120"/>
      <c r="B37" s="121"/>
      <c r="C37" s="842" t="s">
        <v>444</v>
      </c>
      <c r="D37" s="843"/>
      <c r="E37" s="843"/>
      <c r="F37" s="843"/>
      <c r="G37" s="843"/>
      <c r="H37" s="843"/>
      <c r="I37" s="843"/>
      <c r="J37" s="844"/>
      <c r="K37" s="303">
        <f>'BILL-NOTIONAL'!K63</f>
        <v>0</v>
      </c>
      <c r="L37" s="303" t="e">
        <f>'BILL-NOTIONAL'!L63</f>
        <v>#VALUE!</v>
      </c>
      <c r="M37" s="303">
        <f>'BILL-NOTIONAL'!M63</f>
        <v>0</v>
      </c>
      <c r="N37" s="303">
        <f>'BILL-NOTIONAL'!N63</f>
        <v>0</v>
      </c>
      <c r="O37" s="303">
        <f>'BILL-NOTIONAL'!O63</f>
        <v>0</v>
      </c>
      <c r="P37" s="303">
        <f>'BILL-NOTIONAL'!P63</f>
        <v>0</v>
      </c>
      <c r="Q37" s="303">
        <f>'BILL-NOTIONAL'!Q63</f>
        <v>0</v>
      </c>
      <c r="R37" s="303" t="e">
        <f>'BILL-NOTIONAL'!R63</f>
        <v>#VALUE!</v>
      </c>
      <c r="S37" s="303">
        <f>'BILL-NOTIONAL'!S63</f>
        <v>0</v>
      </c>
      <c r="T37" s="303">
        <f>'BILL-NOTIONAL'!S63</f>
        <v>0</v>
      </c>
      <c r="U37" s="303">
        <v>0</v>
      </c>
      <c r="V37" s="303">
        <v>0</v>
      </c>
    </row>
    <row r="38" spans="1:22" ht="12.75">
      <c r="A38" s="130"/>
      <c r="B38" s="348"/>
      <c r="C38" s="842" t="s">
        <v>445</v>
      </c>
      <c r="D38" s="843"/>
      <c r="E38" s="843"/>
      <c r="F38" s="843"/>
      <c r="G38" s="843"/>
      <c r="H38" s="843"/>
      <c r="I38" s="843"/>
      <c r="J38" s="844"/>
      <c r="K38" s="303">
        <f>SUM(BILL!AA26:AA26)</f>
        <v>0</v>
      </c>
      <c r="L38" s="303">
        <f>SUM(BILL!AB26:AB26)</f>
        <v>0</v>
      </c>
      <c r="M38" s="303">
        <f>SUM(BILL!AC26:AC26)</f>
        <v>0</v>
      </c>
      <c r="N38" s="303">
        <f>0</f>
        <v>0</v>
      </c>
      <c r="O38" s="303">
        <f>'BILL-P.F &amp; CASH'!O16</f>
        <v>0</v>
      </c>
      <c r="P38" s="303">
        <f>'BILL-P.F &amp; CASH'!P16</f>
        <v>0</v>
      </c>
      <c r="Q38" s="303">
        <f>'BILL-P.F &amp; CASH'!Q16</f>
        <v>0</v>
      </c>
      <c r="R38" s="303">
        <f>SUM(BILL!AH26:AH26)</f>
        <v>0</v>
      </c>
      <c r="S38" s="303">
        <f>IF('WORK SHEET'!E121=1,SUM(BILL!AH26:AH26),0)</f>
        <v>0</v>
      </c>
      <c r="T38" s="303">
        <f>IF('WORK SHEET'!E121=2,SUM(BILL!AH26:AH26),0)</f>
        <v>0</v>
      </c>
      <c r="U38" s="303">
        <f>S38+T38</f>
        <v>0</v>
      </c>
      <c r="V38" s="303" t="e">
        <f>'BILL-P.F &amp; CASH'!V16</f>
        <v>#VALUE!</v>
      </c>
    </row>
    <row r="39" spans="1:22" ht="12.75">
      <c r="A39" s="130"/>
      <c r="B39" s="348"/>
      <c r="C39" s="842" t="s">
        <v>446</v>
      </c>
      <c r="D39" s="843"/>
      <c r="E39" s="843"/>
      <c r="F39" s="843"/>
      <c r="G39" s="843"/>
      <c r="H39" s="843"/>
      <c r="I39" s="843"/>
      <c r="J39" s="844"/>
      <c r="K39" s="303">
        <f>SUM(BILL!AA30:AA34)</f>
        <v>0</v>
      </c>
      <c r="L39" s="303">
        <f>SUM(BILL!AB30:AB34)</f>
        <v>0</v>
      </c>
      <c r="M39" s="303">
        <f>SUM(BILL!AC30:AC34)</f>
        <v>0</v>
      </c>
      <c r="N39" s="303">
        <f>0</f>
        <v>0</v>
      </c>
      <c r="O39" s="303">
        <f>SUM(BILL!AD30:AD34)</f>
        <v>0</v>
      </c>
      <c r="P39" s="303">
        <f>SUM(BILL!AF30:AF34)</f>
        <v>0</v>
      </c>
      <c r="Q39" s="303">
        <f>SUM(BILL!AG30:AG34)</f>
        <v>0</v>
      </c>
      <c r="R39" s="303">
        <f>SUM(BILL!AH30:AH34)</f>
        <v>0</v>
      </c>
      <c r="S39" s="303">
        <f>S31</f>
        <v>0</v>
      </c>
      <c r="T39" s="303">
        <f>T31</f>
        <v>0</v>
      </c>
      <c r="U39" s="303">
        <f>U31</f>
        <v>0</v>
      </c>
      <c r="V39" s="303">
        <f>R39</f>
        <v>0</v>
      </c>
    </row>
    <row r="40" spans="1:22" ht="12.75">
      <c r="A40" s="131"/>
      <c r="B40" s="348"/>
      <c r="C40" s="842" t="s">
        <v>447</v>
      </c>
      <c r="D40" s="843"/>
      <c r="E40" s="843"/>
      <c r="F40" s="843"/>
      <c r="G40" s="843"/>
      <c r="H40" s="843"/>
      <c r="I40" s="843"/>
      <c r="J40" s="844"/>
      <c r="K40" s="303">
        <f aca="true" t="shared" si="2" ref="K40:T40">K38+K39</f>
        <v>0</v>
      </c>
      <c r="L40" s="303">
        <f t="shared" si="2"/>
        <v>0</v>
      </c>
      <c r="M40" s="303">
        <f t="shared" si="2"/>
        <v>0</v>
      </c>
      <c r="N40" s="303">
        <f t="shared" si="2"/>
        <v>0</v>
      </c>
      <c r="O40" s="303">
        <f t="shared" si="2"/>
        <v>0</v>
      </c>
      <c r="P40" s="303">
        <f t="shared" si="2"/>
        <v>0</v>
      </c>
      <c r="Q40" s="303">
        <f t="shared" si="2"/>
        <v>0</v>
      </c>
      <c r="R40" s="303">
        <f t="shared" si="2"/>
        <v>0</v>
      </c>
      <c r="S40" s="303">
        <f t="shared" si="2"/>
        <v>0</v>
      </c>
      <c r="T40" s="303">
        <f t="shared" si="2"/>
        <v>0</v>
      </c>
      <c r="U40" s="303" t="e">
        <f>U38+U39+BILL!#REF!</f>
        <v>#REF!</v>
      </c>
      <c r="V40" s="303">
        <f>SUM(BILL!AH30:AH34)</f>
        <v>0</v>
      </c>
    </row>
    <row r="41" spans="1:22" ht="12.75">
      <c r="A41" s="834" t="str">
        <f>A32</f>
        <v>RUPEES ZERO ONLY</v>
      </c>
      <c r="B41" s="834"/>
      <c r="C41" s="834"/>
      <c r="D41" s="834"/>
      <c r="E41" s="834"/>
      <c r="F41" s="834"/>
      <c r="G41" s="834"/>
      <c r="H41" s="834"/>
      <c r="I41" s="834"/>
      <c r="J41" s="834"/>
      <c r="K41" s="834"/>
      <c r="L41" s="834"/>
      <c r="M41" s="834"/>
      <c r="N41" s="834"/>
      <c r="O41" s="834"/>
      <c r="P41" s="834"/>
      <c r="Q41" s="834"/>
      <c r="R41" s="834"/>
      <c r="S41" s="834"/>
      <c r="T41" s="834"/>
      <c r="U41" s="834"/>
      <c r="V41" s="834"/>
    </row>
    <row r="42" spans="1:22" ht="12.75">
      <c r="A42" s="231"/>
      <c r="B42" s="115"/>
      <c r="C42" s="231"/>
      <c r="D42" s="231"/>
      <c r="E42" s="231"/>
      <c r="F42" s="231"/>
      <c r="G42" s="231"/>
      <c r="H42" s="231"/>
      <c r="I42" s="231"/>
      <c r="J42" s="231"/>
      <c r="K42" s="231"/>
      <c r="L42" s="231"/>
      <c r="M42" s="231"/>
      <c r="N42" s="231"/>
      <c r="O42" s="231"/>
      <c r="P42" s="231"/>
      <c r="Q42" s="231"/>
      <c r="R42" s="231"/>
      <c r="S42" s="231"/>
      <c r="T42" s="231"/>
      <c r="U42" s="231"/>
      <c r="V42" s="231"/>
    </row>
    <row r="44" spans="3:22" ht="12.75" hidden="1">
      <c r="C44" s="15"/>
      <c r="D44" s="15"/>
      <c r="E44" s="15"/>
      <c r="F44" s="15"/>
      <c r="G44" s="15"/>
      <c r="H44" s="15"/>
      <c r="I44" s="15"/>
      <c r="J44" s="15"/>
      <c r="K44" s="15"/>
      <c r="L44" s="15"/>
      <c r="M44" s="15"/>
      <c r="N44" s="15"/>
      <c r="O44" s="15"/>
      <c r="P44" s="15"/>
      <c r="Q44" s="15"/>
      <c r="R44" s="15"/>
      <c r="S44" s="15"/>
      <c r="T44" s="15"/>
      <c r="U44" s="15"/>
      <c r="V44" s="15"/>
    </row>
    <row r="45" spans="3:22" ht="12.75" hidden="1">
      <c r="C45" s="15"/>
      <c r="D45" s="15"/>
      <c r="E45" s="15"/>
      <c r="F45" s="15"/>
      <c r="G45" s="15"/>
      <c r="H45" s="15"/>
      <c r="I45" s="15"/>
      <c r="J45" s="15"/>
      <c r="K45" s="15"/>
      <c r="L45" s="15"/>
      <c r="M45" s="15"/>
      <c r="N45" s="15"/>
      <c r="O45" s="15"/>
      <c r="P45" s="15"/>
      <c r="Q45" s="15"/>
      <c r="R45" s="15"/>
      <c r="S45" s="15"/>
      <c r="T45" s="15"/>
      <c r="U45" s="15"/>
      <c r="V45" s="15"/>
    </row>
    <row r="46" spans="3:22" ht="12.75" hidden="1">
      <c r="C46" s="15"/>
      <c r="D46" s="15"/>
      <c r="E46" s="15"/>
      <c r="F46" s="15"/>
      <c r="G46" s="15"/>
      <c r="H46" s="15"/>
      <c r="I46" s="15"/>
      <c r="J46" s="15"/>
      <c r="K46" s="15"/>
      <c r="L46" s="15"/>
      <c r="M46" s="15"/>
      <c r="N46" s="15"/>
      <c r="O46" s="15"/>
      <c r="P46" s="15"/>
      <c r="Q46" s="15"/>
      <c r="R46" s="15"/>
      <c r="S46" s="15"/>
      <c r="T46" s="15"/>
      <c r="U46" s="15"/>
      <c r="V46" s="15"/>
    </row>
    <row r="47" spans="3:22" ht="12.75" hidden="1">
      <c r="C47" s="15"/>
      <c r="D47" s="15"/>
      <c r="E47" s="15"/>
      <c r="F47" s="15"/>
      <c r="G47" s="15"/>
      <c r="H47" s="15"/>
      <c r="I47" s="15"/>
      <c r="J47" s="15"/>
      <c r="K47" s="15"/>
      <c r="L47" s="15"/>
      <c r="M47" s="15"/>
      <c r="N47" s="15"/>
      <c r="O47" s="15"/>
      <c r="P47" s="15"/>
      <c r="Q47" s="15"/>
      <c r="R47" s="15"/>
      <c r="S47" s="15"/>
      <c r="T47" s="15"/>
      <c r="U47" s="15"/>
      <c r="V47" s="15"/>
    </row>
    <row r="48" spans="3:22" ht="12.75" hidden="1">
      <c r="C48" s="15"/>
      <c r="D48" s="15"/>
      <c r="E48" s="15"/>
      <c r="F48" s="15"/>
      <c r="G48" s="15"/>
      <c r="H48" s="15"/>
      <c r="I48" s="15"/>
      <c r="J48" s="15"/>
      <c r="K48" s="15"/>
      <c r="L48" s="15"/>
      <c r="M48" s="15"/>
      <c r="N48" s="15"/>
      <c r="O48" s="15"/>
      <c r="P48" s="15"/>
      <c r="Q48" s="15"/>
      <c r="R48" s="15"/>
      <c r="S48" s="15"/>
      <c r="T48" s="15"/>
      <c r="U48" s="15"/>
      <c r="V48" s="15"/>
    </row>
    <row r="49" spans="3:22" ht="12.75" hidden="1">
      <c r="C49" s="15"/>
      <c r="D49" s="15"/>
      <c r="E49" s="15"/>
      <c r="F49" s="15"/>
      <c r="G49" s="15"/>
      <c r="H49" s="15"/>
      <c r="I49" s="15"/>
      <c r="J49" s="15"/>
      <c r="K49" s="15"/>
      <c r="L49" s="15"/>
      <c r="M49" s="15"/>
      <c r="N49" s="15"/>
      <c r="O49" s="15"/>
      <c r="P49" s="15"/>
      <c r="Q49" s="15"/>
      <c r="R49" s="15"/>
      <c r="S49" s="15"/>
      <c r="T49" s="15"/>
      <c r="U49" s="15"/>
      <c r="V49" s="15"/>
    </row>
    <row r="50" spans="3:22" ht="12.75" hidden="1">
      <c r="C50" s="15"/>
      <c r="D50" s="15"/>
      <c r="E50" s="15"/>
      <c r="F50" s="15"/>
      <c r="G50" s="15"/>
      <c r="H50" s="15"/>
      <c r="I50" s="15"/>
      <c r="J50" s="15"/>
      <c r="K50" s="15"/>
      <c r="L50" s="15"/>
      <c r="M50" s="15"/>
      <c r="N50" s="15"/>
      <c r="O50" s="15"/>
      <c r="P50" s="15"/>
      <c r="Q50" s="15"/>
      <c r="R50" s="15"/>
      <c r="S50" s="15"/>
      <c r="T50" s="15"/>
      <c r="U50" s="15"/>
      <c r="V50" s="15"/>
    </row>
    <row r="51" spans="3:22" ht="12.75" hidden="1">
      <c r="C51" s="15"/>
      <c r="D51" s="15"/>
      <c r="E51" s="15"/>
      <c r="F51" s="15"/>
      <c r="G51" s="15"/>
      <c r="H51" s="15"/>
      <c r="I51" s="15"/>
      <c r="J51" s="15"/>
      <c r="K51" s="15"/>
      <c r="L51" s="15"/>
      <c r="M51" s="15"/>
      <c r="N51" s="15"/>
      <c r="O51" s="15"/>
      <c r="P51" s="15"/>
      <c r="Q51" s="15"/>
      <c r="R51" s="15"/>
      <c r="S51" s="15"/>
      <c r="T51" s="15"/>
      <c r="U51" s="15"/>
      <c r="V51" s="15"/>
    </row>
    <row r="52" spans="3:22" ht="12.75" hidden="1">
      <c r="C52" s="15"/>
      <c r="D52" s="15"/>
      <c r="E52" s="15"/>
      <c r="F52" s="15"/>
      <c r="G52" s="15"/>
      <c r="H52" s="15"/>
      <c r="I52" s="15"/>
      <c r="J52" s="15"/>
      <c r="K52" s="15"/>
      <c r="L52" s="15"/>
      <c r="M52" s="15"/>
      <c r="N52" s="15"/>
      <c r="O52" s="15"/>
      <c r="P52" s="15"/>
      <c r="Q52" s="15"/>
      <c r="R52" s="15"/>
      <c r="S52" s="15"/>
      <c r="T52" s="15"/>
      <c r="U52" s="15"/>
      <c r="V52" s="15"/>
    </row>
    <row r="53" spans="3:22" ht="12.75" hidden="1">
      <c r="C53" s="15"/>
      <c r="D53" s="15"/>
      <c r="E53" s="15"/>
      <c r="F53" s="15"/>
      <c r="G53" s="15"/>
      <c r="H53" s="15"/>
      <c r="I53" s="15"/>
      <c r="J53" s="15"/>
      <c r="K53" s="15"/>
      <c r="L53" s="15"/>
      <c r="M53" s="15"/>
      <c r="N53" s="15"/>
      <c r="O53" s="15"/>
      <c r="P53" s="15"/>
      <c r="Q53" s="15"/>
      <c r="R53" s="15"/>
      <c r="S53" s="15"/>
      <c r="T53" s="15"/>
      <c r="U53" s="15"/>
      <c r="V53" s="15"/>
    </row>
    <row r="54" spans="3:22" ht="12.75" hidden="1">
      <c r="C54" s="15"/>
      <c r="D54" s="15"/>
      <c r="E54" s="15"/>
      <c r="F54" s="15"/>
      <c r="G54" s="15"/>
      <c r="H54" s="15"/>
      <c r="I54" s="15"/>
      <c r="J54" s="15"/>
      <c r="K54" s="15"/>
      <c r="L54" s="15"/>
      <c r="M54" s="15"/>
      <c r="N54" s="15"/>
      <c r="O54" s="15"/>
      <c r="P54" s="15"/>
      <c r="Q54" s="15"/>
      <c r="R54" s="15"/>
      <c r="S54" s="15"/>
      <c r="T54" s="15"/>
      <c r="U54" s="15"/>
      <c r="V54" s="15"/>
    </row>
    <row r="55" spans="3:22" ht="12.75" hidden="1">
      <c r="C55" s="15"/>
      <c r="D55" s="15"/>
      <c r="E55" s="15"/>
      <c r="F55" s="15"/>
      <c r="G55" s="15"/>
      <c r="H55" s="15"/>
      <c r="I55" s="15"/>
      <c r="J55" s="15"/>
      <c r="K55" s="15"/>
      <c r="L55" s="15"/>
      <c r="M55" s="15"/>
      <c r="N55" s="15"/>
      <c r="O55" s="15"/>
      <c r="P55" s="15"/>
      <c r="Q55" s="15"/>
      <c r="R55" s="15"/>
      <c r="S55" s="15"/>
      <c r="T55" s="15"/>
      <c r="U55" s="15"/>
      <c r="V55" s="15"/>
    </row>
    <row r="56" spans="3:22" ht="12.75" hidden="1">
      <c r="C56" s="15"/>
      <c r="D56" s="15"/>
      <c r="E56" s="15"/>
      <c r="F56" s="15"/>
      <c r="G56" s="15"/>
      <c r="H56" s="15"/>
      <c r="I56" s="15"/>
      <c r="J56" s="15"/>
      <c r="K56" s="15"/>
      <c r="L56" s="15"/>
      <c r="M56" s="15"/>
      <c r="N56" s="15"/>
      <c r="O56" s="15"/>
      <c r="P56" s="15"/>
      <c r="Q56" s="15"/>
      <c r="R56" s="15"/>
      <c r="S56" s="15"/>
      <c r="T56" s="15"/>
      <c r="U56" s="15"/>
      <c r="V56" s="15"/>
    </row>
    <row r="57" spans="3:22" ht="12.75" hidden="1">
      <c r="C57" s="15"/>
      <c r="D57" s="15"/>
      <c r="E57" s="15"/>
      <c r="F57" s="15"/>
      <c r="G57" s="15"/>
      <c r="H57" s="15"/>
      <c r="I57" s="15"/>
      <c r="J57" s="15"/>
      <c r="K57" s="15"/>
      <c r="L57" s="15"/>
      <c r="M57" s="15"/>
      <c r="N57" s="15"/>
      <c r="O57" s="15"/>
      <c r="P57" s="15"/>
      <c r="Q57" s="15"/>
      <c r="R57" s="15"/>
      <c r="S57" s="15"/>
      <c r="T57" s="15"/>
      <c r="U57" s="15"/>
      <c r="V57" s="15"/>
    </row>
    <row r="58" spans="3:22" ht="12.75" hidden="1">
      <c r="C58" s="15"/>
      <c r="D58" s="15"/>
      <c r="E58" s="15"/>
      <c r="F58" s="15"/>
      <c r="G58" s="15"/>
      <c r="H58" s="15"/>
      <c r="I58" s="15"/>
      <c r="J58" s="15"/>
      <c r="K58" s="15"/>
      <c r="L58" s="15"/>
      <c r="M58" s="15"/>
      <c r="N58" s="15"/>
      <c r="O58" s="15"/>
      <c r="P58" s="15"/>
      <c r="Q58" s="15"/>
      <c r="R58" s="15"/>
      <c r="S58" s="15"/>
      <c r="T58" s="15"/>
      <c r="U58" s="15"/>
      <c r="V58" s="15"/>
    </row>
    <row r="59" spans="3:22" ht="12.75" hidden="1">
      <c r="C59" s="15"/>
      <c r="D59" s="15"/>
      <c r="E59" s="15"/>
      <c r="F59" s="15"/>
      <c r="G59" s="15"/>
      <c r="H59" s="15"/>
      <c r="I59" s="15"/>
      <c r="J59" s="15"/>
      <c r="K59" s="15"/>
      <c r="L59" s="15"/>
      <c r="M59" s="15"/>
      <c r="N59" s="15"/>
      <c r="O59" s="15"/>
      <c r="P59" s="15"/>
      <c r="Q59" s="15"/>
      <c r="R59" s="15"/>
      <c r="S59" s="15"/>
      <c r="T59" s="15"/>
      <c r="U59" s="15"/>
      <c r="V59" s="15"/>
    </row>
    <row r="60" spans="3:22" ht="12.75" hidden="1">
      <c r="C60" s="15"/>
      <c r="D60" s="15"/>
      <c r="E60" s="15"/>
      <c r="F60" s="15"/>
      <c r="G60" s="15"/>
      <c r="H60" s="15"/>
      <c r="I60" s="15"/>
      <c r="J60" s="15"/>
      <c r="K60" s="15"/>
      <c r="L60" s="15"/>
      <c r="M60" s="15"/>
      <c r="N60" s="15"/>
      <c r="O60" s="15"/>
      <c r="P60" s="15"/>
      <c r="Q60" s="15"/>
      <c r="R60" s="15"/>
      <c r="S60" s="15"/>
      <c r="T60" s="15"/>
      <c r="U60" s="15"/>
      <c r="V60" s="15"/>
    </row>
    <row r="61" spans="3:22" ht="12.75" hidden="1">
      <c r="C61" s="15"/>
      <c r="D61" s="15"/>
      <c r="E61" s="15"/>
      <c r="F61" s="15"/>
      <c r="G61" s="15"/>
      <c r="H61" s="15"/>
      <c r="I61" s="15"/>
      <c r="J61" s="15"/>
      <c r="K61" s="15"/>
      <c r="L61" s="15"/>
      <c r="M61" s="15"/>
      <c r="N61" s="15"/>
      <c r="O61" s="15"/>
      <c r="P61" s="15"/>
      <c r="Q61" s="15"/>
      <c r="R61" s="15"/>
      <c r="S61" s="15"/>
      <c r="T61" s="15"/>
      <c r="U61" s="15"/>
      <c r="V61" s="15"/>
    </row>
    <row r="62" spans="3:22" ht="12.75" hidden="1">
      <c r="C62" s="15"/>
      <c r="D62" s="15"/>
      <c r="E62" s="15"/>
      <c r="F62" s="15"/>
      <c r="G62" s="15"/>
      <c r="H62" s="15"/>
      <c r="I62" s="15"/>
      <c r="J62" s="15"/>
      <c r="K62" s="15"/>
      <c r="L62" s="15"/>
      <c r="M62" s="15"/>
      <c r="N62" s="15"/>
      <c r="O62" s="15"/>
      <c r="P62" s="15"/>
      <c r="Q62" s="15"/>
      <c r="R62" s="15"/>
      <c r="S62" s="15"/>
      <c r="T62" s="15"/>
      <c r="U62" s="15"/>
      <c r="V62" s="15"/>
    </row>
    <row r="63" spans="3:22" ht="12.75" hidden="1">
      <c r="C63" s="15"/>
      <c r="D63" s="15"/>
      <c r="E63" s="15"/>
      <c r="F63" s="15"/>
      <c r="G63" s="15"/>
      <c r="H63" s="15"/>
      <c r="I63" s="15"/>
      <c r="J63" s="15"/>
      <c r="K63" s="15"/>
      <c r="L63" s="15"/>
      <c r="M63" s="15"/>
      <c r="N63" s="15"/>
      <c r="O63" s="15"/>
      <c r="P63" s="15"/>
      <c r="Q63" s="15"/>
      <c r="R63" s="15"/>
      <c r="S63" s="15"/>
      <c r="T63" s="15"/>
      <c r="U63" s="15"/>
      <c r="V63" s="15"/>
    </row>
    <row r="64" spans="3:22" ht="12.75" hidden="1">
      <c r="C64" s="15"/>
      <c r="D64" s="15"/>
      <c r="E64" s="15"/>
      <c r="F64" s="15"/>
      <c r="G64" s="15"/>
      <c r="H64" s="15"/>
      <c r="I64" s="15"/>
      <c r="J64" s="15"/>
      <c r="K64" s="15"/>
      <c r="L64" s="15"/>
      <c r="M64" s="15"/>
      <c r="N64" s="15"/>
      <c r="O64" s="15"/>
      <c r="P64" s="15"/>
      <c r="Q64" s="15"/>
      <c r="R64" s="15"/>
      <c r="S64" s="15"/>
      <c r="T64" s="15"/>
      <c r="U64" s="15"/>
      <c r="V64" s="15"/>
    </row>
    <row r="65" spans="3:22" ht="12.75" hidden="1">
      <c r="C65" s="15"/>
      <c r="D65" s="15"/>
      <c r="E65" s="15"/>
      <c r="F65" s="15"/>
      <c r="G65" s="15"/>
      <c r="H65" s="15"/>
      <c r="I65" s="15"/>
      <c r="J65" s="15"/>
      <c r="K65" s="15"/>
      <c r="L65" s="15"/>
      <c r="M65" s="15"/>
      <c r="N65" s="15"/>
      <c r="O65" s="15"/>
      <c r="P65" s="15"/>
      <c r="Q65" s="15"/>
      <c r="R65" s="15"/>
      <c r="S65" s="15"/>
      <c r="T65" s="15"/>
      <c r="U65" s="15"/>
      <c r="V65" s="15"/>
    </row>
    <row r="66" spans="3:22" ht="12.75" hidden="1">
      <c r="C66" s="15"/>
      <c r="D66" s="15"/>
      <c r="E66" s="15"/>
      <c r="F66" s="15"/>
      <c r="G66" s="15"/>
      <c r="H66" s="15"/>
      <c r="I66" s="15"/>
      <c r="J66" s="15"/>
      <c r="K66" s="15"/>
      <c r="L66" s="15"/>
      <c r="M66" s="15"/>
      <c r="N66" s="15"/>
      <c r="O66" s="15"/>
      <c r="P66" s="15"/>
      <c r="Q66" s="15"/>
      <c r="R66" s="15"/>
      <c r="S66" s="15"/>
      <c r="T66" s="15"/>
      <c r="U66" s="15"/>
      <c r="V66" s="15"/>
    </row>
    <row r="67" spans="3:22" ht="12.75" hidden="1">
      <c r="C67" s="15"/>
      <c r="D67" s="15"/>
      <c r="E67" s="15"/>
      <c r="F67" s="15"/>
      <c r="G67" s="15"/>
      <c r="H67" s="15"/>
      <c r="I67" s="15"/>
      <c r="J67" s="15"/>
      <c r="K67" s="15"/>
      <c r="L67" s="15"/>
      <c r="M67" s="15"/>
      <c r="N67" s="15"/>
      <c r="O67" s="15"/>
      <c r="P67" s="15"/>
      <c r="Q67" s="15"/>
      <c r="R67" s="15"/>
      <c r="S67" s="15"/>
      <c r="T67" s="15"/>
      <c r="U67" s="15"/>
      <c r="V67" s="15"/>
    </row>
    <row r="68" spans="3:22" ht="12.75" hidden="1">
      <c r="C68" s="15"/>
      <c r="D68" s="15"/>
      <c r="E68" s="15"/>
      <c r="F68" s="15"/>
      <c r="G68" s="15"/>
      <c r="H68" s="15"/>
      <c r="I68" s="15"/>
      <c r="J68" s="15"/>
      <c r="K68" s="15"/>
      <c r="L68" s="15"/>
      <c r="M68" s="15"/>
      <c r="N68" s="15"/>
      <c r="O68" s="15"/>
      <c r="P68" s="15"/>
      <c r="Q68" s="15"/>
      <c r="R68" s="15"/>
      <c r="S68" s="15"/>
      <c r="T68" s="15"/>
      <c r="U68" s="15"/>
      <c r="V68" s="15"/>
    </row>
    <row r="69" spans="3:22" ht="12.75" hidden="1">
      <c r="C69" s="15"/>
      <c r="D69" s="15"/>
      <c r="E69" s="15"/>
      <c r="F69" s="15"/>
      <c r="G69" s="15"/>
      <c r="H69" s="15"/>
      <c r="I69" s="15"/>
      <c r="J69" s="15"/>
      <c r="K69" s="15"/>
      <c r="L69" s="15"/>
      <c r="M69" s="15"/>
      <c r="N69" s="15"/>
      <c r="O69" s="15"/>
      <c r="P69" s="15"/>
      <c r="Q69" s="15"/>
      <c r="R69" s="15"/>
      <c r="S69" s="15"/>
      <c r="T69" s="15"/>
      <c r="U69" s="15"/>
      <c r="V69" s="15"/>
    </row>
    <row r="70" spans="3:22" ht="12.75" hidden="1">
      <c r="C70" s="15"/>
      <c r="D70" s="15"/>
      <c r="E70" s="15"/>
      <c r="F70" s="15"/>
      <c r="G70" s="15"/>
      <c r="H70" s="15"/>
      <c r="I70" s="15"/>
      <c r="J70" s="15"/>
      <c r="K70" s="15"/>
      <c r="L70" s="15"/>
      <c r="M70" s="15"/>
      <c r="N70" s="15"/>
      <c r="O70" s="15"/>
      <c r="P70" s="15"/>
      <c r="Q70" s="15"/>
      <c r="R70" s="15"/>
      <c r="S70" s="15"/>
      <c r="T70" s="15"/>
      <c r="U70" s="15"/>
      <c r="V70" s="15"/>
    </row>
    <row r="71" spans="3:22" ht="12.75" hidden="1">
      <c r="C71" s="15"/>
      <c r="D71" s="15"/>
      <c r="E71" s="15"/>
      <c r="F71" s="15"/>
      <c r="G71" s="15"/>
      <c r="H71" s="15"/>
      <c r="I71" s="15"/>
      <c r="J71" s="15"/>
      <c r="K71" s="15"/>
      <c r="L71" s="15"/>
      <c r="M71" s="15"/>
      <c r="N71" s="15"/>
      <c r="O71" s="15"/>
      <c r="P71" s="15"/>
      <c r="Q71" s="15"/>
      <c r="R71" s="15"/>
      <c r="S71" s="15"/>
      <c r="T71" s="15"/>
      <c r="U71" s="15"/>
      <c r="V71" s="15"/>
    </row>
    <row r="72" spans="3:22" ht="12.75" hidden="1">
      <c r="C72" s="15"/>
      <c r="D72" s="15"/>
      <c r="E72" s="15"/>
      <c r="F72" s="15"/>
      <c r="G72" s="15"/>
      <c r="H72" s="15"/>
      <c r="I72" s="15"/>
      <c r="J72" s="15"/>
      <c r="K72" s="15"/>
      <c r="L72" s="15"/>
      <c r="M72" s="15"/>
      <c r="N72" s="15"/>
      <c r="O72" s="15"/>
      <c r="P72" s="15"/>
      <c r="Q72" s="15"/>
      <c r="R72" s="15"/>
      <c r="S72" s="15"/>
      <c r="T72" s="15"/>
      <c r="U72" s="15"/>
      <c r="V72" s="15"/>
    </row>
    <row r="73" spans="3:22" ht="12.75" hidden="1">
      <c r="C73" s="15"/>
      <c r="D73" s="15"/>
      <c r="E73" s="15"/>
      <c r="F73" s="15"/>
      <c r="G73" s="15"/>
      <c r="H73" s="15"/>
      <c r="I73" s="15"/>
      <c r="J73" s="15"/>
      <c r="K73" s="15"/>
      <c r="L73" s="15"/>
      <c r="M73" s="15"/>
      <c r="N73" s="15"/>
      <c r="O73" s="15"/>
      <c r="P73" s="15"/>
      <c r="Q73" s="15"/>
      <c r="R73" s="15"/>
      <c r="S73" s="15"/>
      <c r="T73" s="15"/>
      <c r="U73" s="15"/>
      <c r="V73" s="15"/>
    </row>
    <row r="74" spans="3:22" ht="12.75" hidden="1">
      <c r="C74" s="15"/>
      <c r="D74" s="15"/>
      <c r="E74" s="15"/>
      <c r="F74" s="15"/>
      <c r="G74" s="15"/>
      <c r="H74" s="15"/>
      <c r="I74" s="15"/>
      <c r="J74" s="15"/>
      <c r="K74" s="15"/>
      <c r="L74" s="15"/>
      <c r="M74" s="15"/>
      <c r="N74" s="15"/>
      <c r="O74" s="15"/>
      <c r="P74" s="15"/>
      <c r="Q74" s="15"/>
      <c r="R74" s="15"/>
      <c r="S74" s="15"/>
      <c r="T74" s="15"/>
      <c r="U74" s="15"/>
      <c r="V74" s="15"/>
    </row>
    <row r="75" spans="3:22" ht="12.75" hidden="1">
      <c r="C75" s="15"/>
      <c r="D75" s="15"/>
      <c r="E75" s="15"/>
      <c r="F75" s="15"/>
      <c r="G75" s="15"/>
      <c r="H75" s="15"/>
      <c r="I75" s="15"/>
      <c r="J75" s="15"/>
      <c r="K75" s="15"/>
      <c r="L75" s="15"/>
      <c r="M75" s="15"/>
      <c r="N75" s="15"/>
      <c r="O75" s="15"/>
      <c r="P75" s="15"/>
      <c r="Q75" s="15"/>
      <c r="R75" s="15"/>
      <c r="S75" s="15"/>
      <c r="T75" s="15"/>
      <c r="U75" s="15"/>
      <c r="V75" s="15"/>
    </row>
    <row r="76" spans="3:22" ht="12.75" hidden="1">
      <c r="C76" s="15"/>
      <c r="D76" s="15"/>
      <c r="E76" s="15"/>
      <c r="F76" s="15"/>
      <c r="G76" s="15"/>
      <c r="H76" s="15"/>
      <c r="I76" s="15"/>
      <c r="J76" s="15"/>
      <c r="K76" s="15"/>
      <c r="L76" s="15"/>
      <c r="M76" s="15"/>
      <c r="N76" s="15"/>
      <c r="O76" s="15"/>
      <c r="P76" s="15"/>
      <c r="Q76" s="15"/>
      <c r="R76" s="15"/>
      <c r="S76" s="15"/>
      <c r="T76" s="15"/>
      <c r="U76" s="15"/>
      <c r="V76" s="15"/>
    </row>
    <row r="77" spans="3:22" ht="12.75" hidden="1">
      <c r="C77" s="15"/>
      <c r="D77" s="15"/>
      <c r="E77" s="15"/>
      <c r="F77" s="15"/>
      <c r="G77" s="15"/>
      <c r="H77" s="15"/>
      <c r="I77" s="15"/>
      <c r="J77" s="15"/>
      <c r="K77" s="15"/>
      <c r="L77" s="15"/>
      <c r="M77" s="15"/>
      <c r="N77" s="15"/>
      <c r="O77" s="15"/>
      <c r="P77" s="15"/>
      <c r="Q77" s="15"/>
      <c r="R77" s="15"/>
      <c r="S77" s="15"/>
      <c r="T77" s="15"/>
      <c r="U77" s="15"/>
      <c r="V77" s="15"/>
    </row>
    <row r="78" spans="3:22" ht="12.75" hidden="1">
      <c r="C78" s="15"/>
      <c r="D78" s="15"/>
      <c r="E78" s="15"/>
      <c r="F78" s="15"/>
      <c r="G78" s="15"/>
      <c r="H78" s="15"/>
      <c r="I78" s="15"/>
      <c r="J78" s="15"/>
      <c r="K78" s="15"/>
      <c r="L78" s="15"/>
      <c r="M78" s="15"/>
      <c r="N78" s="15"/>
      <c r="O78" s="15"/>
      <c r="P78" s="15"/>
      <c r="Q78" s="15"/>
      <c r="R78" s="15"/>
      <c r="S78" s="15"/>
      <c r="T78" s="15"/>
      <c r="U78" s="15"/>
      <c r="V78" s="15"/>
    </row>
    <row r="79" spans="3:22" ht="12.75" hidden="1">
      <c r="C79" s="15"/>
      <c r="D79" s="15"/>
      <c r="E79" s="15"/>
      <c r="F79" s="15"/>
      <c r="G79" s="15"/>
      <c r="H79" s="15"/>
      <c r="I79" s="15"/>
      <c r="J79" s="15"/>
      <c r="K79" s="15"/>
      <c r="L79" s="15"/>
      <c r="M79" s="15"/>
      <c r="N79" s="15"/>
      <c r="O79" s="15"/>
      <c r="P79" s="15"/>
      <c r="Q79" s="15"/>
      <c r="R79" s="15"/>
      <c r="S79" s="15"/>
      <c r="T79" s="15"/>
      <c r="U79" s="15"/>
      <c r="V79" s="15"/>
    </row>
    <row r="80" spans="3:22" ht="12.75" hidden="1">
      <c r="C80" s="15"/>
      <c r="D80" s="15"/>
      <c r="E80" s="15"/>
      <c r="F80" s="15"/>
      <c r="G80" s="15"/>
      <c r="H80" s="15"/>
      <c r="I80" s="15"/>
      <c r="J80" s="15"/>
      <c r="K80" s="15"/>
      <c r="L80" s="15"/>
      <c r="M80" s="15"/>
      <c r="N80" s="15"/>
      <c r="O80" s="15"/>
      <c r="P80" s="15"/>
      <c r="Q80" s="15"/>
      <c r="R80" s="15"/>
      <c r="S80" s="15"/>
      <c r="T80" s="15"/>
      <c r="U80" s="15"/>
      <c r="V80" s="15"/>
    </row>
    <row r="81" spans="3:22" ht="12.75" hidden="1">
      <c r="C81" s="15"/>
      <c r="D81" s="15"/>
      <c r="E81" s="15"/>
      <c r="F81" s="15"/>
      <c r="G81" s="15"/>
      <c r="H81" s="15"/>
      <c r="I81" s="15"/>
      <c r="J81" s="15"/>
      <c r="K81" s="15"/>
      <c r="L81" s="15"/>
      <c r="M81" s="15"/>
      <c r="N81" s="15"/>
      <c r="O81" s="15"/>
      <c r="P81" s="15"/>
      <c r="Q81" s="15"/>
      <c r="R81" s="15"/>
      <c r="S81" s="15"/>
      <c r="T81" s="15"/>
      <c r="U81" s="15"/>
      <c r="V81" s="15"/>
    </row>
    <row r="82" spans="3:22" ht="12.75" hidden="1">
      <c r="C82" s="15"/>
      <c r="D82" s="15"/>
      <c r="E82" s="15"/>
      <c r="F82" s="15"/>
      <c r="G82" s="15"/>
      <c r="H82" s="15"/>
      <c r="I82" s="15"/>
      <c r="J82" s="15"/>
      <c r="K82" s="15"/>
      <c r="L82" s="15"/>
      <c r="M82" s="15"/>
      <c r="N82" s="15"/>
      <c r="O82" s="15"/>
      <c r="P82" s="15"/>
      <c r="Q82" s="15"/>
      <c r="R82" s="15"/>
      <c r="S82" s="15"/>
      <c r="T82" s="15"/>
      <c r="U82" s="15"/>
      <c r="V82" s="15"/>
    </row>
    <row r="83" spans="3:22" ht="12.75" hidden="1">
      <c r="C83" s="15"/>
      <c r="D83" s="15"/>
      <c r="E83" s="15"/>
      <c r="F83" s="15"/>
      <c r="G83" s="15"/>
      <c r="H83" s="15"/>
      <c r="I83" s="15"/>
      <c r="J83" s="15"/>
      <c r="K83" s="15"/>
      <c r="L83" s="15"/>
      <c r="M83" s="15"/>
      <c r="N83" s="15"/>
      <c r="O83" s="15"/>
      <c r="P83" s="15"/>
      <c r="Q83" s="15"/>
      <c r="R83" s="15"/>
      <c r="S83" s="15"/>
      <c r="T83" s="15"/>
      <c r="U83" s="15"/>
      <c r="V83" s="15"/>
    </row>
    <row r="84" spans="3:22" ht="12.75" hidden="1">
      <c r="C84" s="15"/>
      <c r="D84" s="15"/>
      <c r="E84" s="15"/>
      <c r="F84" s="15"/>
      <c r="G84" s="15"/>
      <c r="H84" s="15"/>
      <c r="I84" s="15"/>
      <c r="J84" s="15"/>
      <c r="K84" s="15"/>
      <c r="L84" s="15"/>
      <c r="M84" s="15"/>
      <c r="N84" s="15"/>
      <c r="O84" s="15"/>
      <c r="P84" s="15"/>
      <c r="Q84" s="15"/>
      <c r="R84" s="15"/>
      <c r="S84" s="15"/>
      <c r="T84" s="15"/>
      <c r="U84" s="15"/>
      <c r="V84" s="15"/>
    </row>
    <row r="85" spans="3:22" ht="12.75" hidden="1">
      <c r="C85" s="15"/>
      <c r="D85" s="15"/>
      <c r="E85" s="15"/>
      <c r="F85" s="15"/>
      <c r="G85" s="15"/>
      <c r="H85" s="15"/>
      <c r="I85" s="15"/>
      <c r="J85" s="15"/>
      <c r="K85" s="15"/>
      <c r="L85" s="15"/>
      <c r="M85" s="15"/>
      <c r="N85" s="15"/>
      <c r="O85" s="15"/>
      <c r="P85" s="15"/>
      <c r="Q85" s="15"/>
      <c r="R85" s="15"/>
      <c r="S85" s="15"/>
      <c r="T85" s="15"/>
      <c r="U85" s="15"/>
      <c r="V85" s="15"/>
    </row>
    <row r="86" spans="3:22" ht="12.75" hidden="1">
      <c r="C86" s="15"/>
      <c r="D86" s="15"/>
      <c r="E86" s="15"/>
      <c r="F86" s="15"/>
      <c r="G86" s="15"/>
      <c r="H86" s="15"/>
      <c r="I86" s="15"/>
      <c r="J86" s="15"/>
      <c r="K86" s="15"/>
      <c r="L86" s="15"/>
      <c r="M86" s="15"/>
      <c r="N86" s="15"/>
      <c r="O86" s="15"/>
      <c r="P86" s="15"/>
      <c r="Q86" s="15"/>
      <c r="R86" s="15"/>
      <c r="S86" s="15"/>
      <c r="T86" s="15"/>
      <c r="U86" s="15"/>
      <c r="V86" s="15"/>
    </row>
    <row r="87" spans="3:22" ht="12.75" hidden="1">
      <c r="C87" s="15"/>
      <c r="D87" s="15"/>
      <c r="E87" s="15"/>
      <c r="F87" s="15"/>
      <c r="G87" s="15"/>
      <c r="H87" s="15"/>
      <c r="I87" s="15"/>
      <c r="J87" s="15"/>
      <c r="K87" s="15"/>
      <c r="L87" s="15"/>
      <c r="M87" s="15"/>
      <c r="N87" s="15"/>
      <c r="O87" s="15"/>
      <c r="P87" s="15"/>
      <c r="Q87" s="15"/>
      <c r="R87" s="15"/>
      <c r="S87" s="15"/>
      <c r="T87" s="15"/>
      <c r="U87" s="15"/>
      <c r="V87" s="15"/>
    </row>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7" ht="12.75">
      <c r="K137" s="117"/>
    </row>
  </sheetData>
  <sheetProtection selectLockedCells="1"/>
  <mergeCells count="36">
    <mergeCell ref="B11:C11"/>
    <mergeCell ref="F11:G11"/>
    <mergeCell ref="H11:I11"/>
    <mergeCell ref="R17:S17"/>
    <mergeCell ref="K17:N17"/>
    <mergeCell ref="P17:Q17"/>
    <mergeCell ref="F16:G16"/>
    <mergeCell ref="B15:C15"/>
    <mergeCell ref="F15:G15"/>
    <mergeCell ref="H15:I15"/>
    <mergeCell ref="U1:V1"/>
    <mergeCell ref="C2:J2"/>
    <mergeCell ref="C3:J3"/>
    <mergeCell ref="C6:J6"/>
    <mergeCell ref="A1:T1"/>
    <mergeCell ref="B22:C22"/>
    <mergeCell ref="F22:G22"/>
    <mergeCell ref="H22:I22"/>
    <mergeCell ref="B26:C26"/>
    <mergeCell ref="F26:G26"/>
    <mergeCell ref="H26:I26"/>
    <mergeCell ref="C39:J39"/>
    <mergeCell ref="F31:G31"/>
    <mergeCell ref="H31:I31"/>
    <mergeCell ref="B30:C30"/>
    <mergeCell ref="F30:G30"/>
    <mergeCell ref="H30:I30"/>
    <mergeCell ref="A41:V41"/>
    <mergeCell ref="B31:C31"/>
    <mergeCell ref="C36:J36"/>
    <mergeCell ref="A34:V34"/>
    <mergeCell ref="A32:V32"/>
    <mergeCell ref="C35:J35"/>
    <mergeCell ref="C40:J40"/>
    <mergeCell ref="C37:J37"/>
    <mergeCell ref="C38:J38"/>
  </mergeCells>
  <printOptions horizontalCentered="1"/>
  <pageMargins left="0.56" right="0.97" top="0.36" bottom="0.48" header="0.28"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SANNAMURI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 POOJITHA</dc:creator>
  <cp:keywords/>
  <dc:description/>
  <cp:lastModifiedBy>client1</cp:lastModifiedBy>
  <cp:lastPrinted>2011-08-03T13:03:00Z</cp:lastPrinted>
  <dcterms:created xsi:type="dcterms:W3CDTF">2009-12-11T17:14:18Z</dcterms:created>
  <dcterms:modified xsi:type="dcterms:W3CDTF">2011-09-25T11:02:32Z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