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firstSheet="1" activeTab="1"/>
  </bookViews>
  <sheets>
    <sheet name="Sheet3" sheetId="1" state="hidden" r:id="rId1"/>
    <sheet name="SH" sheetId="2" r:id="rId2"/>
    <sheet name="aptc47" sheetId="3" r:id="rId3"/>
    <sheet name="proce" sheetId="4" r:id="rId4"/>
    <sheet name="BILL" sheetId="5" state="hidden" r:id="rId5"/>
    <sheet name="bill2" sheetId="6" r:id="rId6"/>
    <sheet name="Budget" sheetId="7" r:id="rId7"/>
    <sheet name="annexure" sheetId="8" state="hidden" r:id="rId8"/>
    <sheet name="INC-CERT" sheetId="9" r:id="rId9"/>
    <sheet name="PAPER&amp;101" sheetId="10" r:id="rId10"/>
    <sheet name="ZPPF" sheetId="11" r:id="rId11"/>
  </sheets>
  <externalReferences>
    <externalReference r:id="rId14"/>
    <externalReference r:id="rId15"/>
    <externalReference r:id="rId16"/>
    <externalReference r:id="rId17"/>
  </externalReferences>
  <definedNames>
    <definedName name="desig">#REF!</definedName>
    <definedName name="mscl3">'[2]scl'!$AA$3:$AB$82</definedName>
    <definedName name="mscl8">'[2]scl'!$AG$3:$AH$82</definedName>
    <definedName name="_xlnm.Print_Area" localSheetId="2">'aptc47'!$A$1:$Q$90</definedName>
    <definedName name="_xlnm.Print_Titles" localSheetId="4">'BILL'!$3:$6</definedName>
  </definedNames>
  <calcPr fullCalcOnLoad="1"/>
</workbook>
</file>

<file path=xl/comments2.xml><?xml version="1.0" encoding="utf-8"?>
<comments xmlns="http://schemas.openxmlformats.org/spreadsheetml/2006/main">
  <authors>
    <author>leela</author>
  </authors>
  <commentList>
    <comment ref="E15" authorId="0">
      <text>
        <r>
          <rPr>
            <b/>
            <sz val="8"/>
            <rFont val="Tahoma"/>
            <family val="2"/>
          </rPr>
          <t xml:space="preserve">
</t>
        </r>
      </text>
    </comment>
  </commentList>
</comments>
</file>

<file path=xl/sharedStrings.xml><?xml version="1.0" encoding="utf-8"?>
<sst xmlns="http://schemas.openxmlformats.org/spreadsheetml/2006/main" count="1069" uniqueCount="572">
  <si>
    <t>To</t>
  </si>
  <si>
    <t>Received the payment</t>
  </si>
  <si>
    <t>Attested</t>
  </si>
  <si>
    <t>GOVERNMENT OF ANDHRA PRADESH</t>
  </si>
  <si>
    <t>(For Treasury Use Only)</t>
  </si>
  <si>
    <t>(Major Head)</t>
  </si>
  <si>
    <t>(Minor Head)</t>
  </si>
  <si>
    <t>N</t>
  </si>
  <si>
    <t>V</t>
  </si>
  <si>
    <t>STO Signature</t>
  </si>
  <si>
    <t>A P T C - 47</t>
  </si>
  <si>
    <t>Pay Bill for the Month &amp; Year   :</t>
  </si>
  <si>
    <t>Date       :</t>
  </si>
  <si>
    <t>Treasury / PAO. Code</t>
  </si>
  <si>
    <t>:</t>
  </si>
  <si>
    <t>Trans ID  :</t>
  </si>
  <si>
    <t>D.D.O.Code</t>
  </si>
  <si>
    <t>D.D.O. Designation</t>
  </si>
  <si>
    <t>Mandal Educational Officer</t>
  </si>
  <si>
    <t>Bank Code</t>
  </si>
  <si>
    <t>D.D.O.'s TBR No.</t>
  </si>
  <si>
    <t>Permant /</t>
  </si>
  <si>
    <t>Temporary</t>
  </si>
  <si>
    <t>HEAD OF ACCOUNT</t>
  </si>
  <si>
    <t>DEDUCTIONS</t>
  </si>
  <si>
    <t>AMOUNT</t>
  </si>
  <si>
    <t>Major Head</t>
  </si>
  <si>
    <t>General Education</t>
  </si>
  <si>
    <t>GPF / AIS / PF</t>
  </si>
  <si>
    <t>Rs.</t>
  </si>
  <si>
    <t>APGLI</t>
  </si>
  <si>
    <t>Sub Majour</t>
  </si>
  <si>
    <t>Elementary Education</t>
  </si>
  <si>
    <t>Group Insurance / AIS</t>
  </si>
  <si>
    <t>Professional Tax</t>
  </si>
  <si>
    <t>Minor Head</t>
  </si>
  <si>
    <t>Hose Rent</t>
  </si>
  <si>
    <t>Festival Advance &amp;
APCO Advance</t>
  </si>
  <si>
    <t>Group Sub-Head</t>
  </si>
  <si>
    <t>Education Advance</t>
  </si>
  <si>
    <t>H.B.A. [ P ]</t>
  </si>
  <si>
    <t>Sub-Head</t>
  </si>
  <si>
    <t>Teaching Grants to
 Mandal Parishad</t>
  </si>
  <si>
    <t>H.B.A. [ I ]</t>
  </si>
  <si>
    <t>Car Advance [ P ]</t>
  </si>
  <si>
    <t>Detailed Head</t>
  </si>
  <si>
    <t>Salaries</t>
  </si>
  <si>
    <t>Car Advance [ I ]</t>
  </si>
  <si>
    <t>Charged= C/Voted=V</t>
  </si>
  <si>
    <t>Motor Cycle Advance [P]</t>
  </si>
  <si>
    <t>Contigency Fund M.H.</t>
  </si>
  <si>
    <t>Motor Cycle Advance [ I ]</t>
  </si>
  <si>
    <t>Service Mager Head</t>
  </si>
  <si>
    <t>Cycle Advance</t>
  </si>
  <si>
    <t>011  Pay</t>
  </si>
  <si>
    <t xml:space="preserve">Marriage  Advance [ P]   </t>
  </si>
  <si>
    <t>012  Allowances</t>
  </si>
  <si>
    <t>Marriage  Advance [ I ]</t>
  </si>
  <si>
    <t>013  Dearness Allowance</t>
  </si>
  <si>
    <t>Income Tax</t>
  </si>
  <si>
    <t>Gross Amount</t>
  </si>
  <si>
    <t>ZPPF</t>
  </si>
  <si>
    <t>Less Govt.Deductions</t>
  </si>
  <si>
    <t>A.G.Net Amount</t>
  </si>
  <si>
    <t>Total Govt. Deductions Rs.</t>
  </si>
  <si>
    <t>For  USE IN TREASURY PAY &amp; ACCOUNTS OFFICE ONLY</t>
  </si>
  <si>
    <t>Treasury Officer / Pay &amp; Accounts Officer</t>
  </si>
  <si>
    <t>Expenditure with this Bill</t>
  </si>
  <si>
    <t>Balance</t>
  </si>
  <si>
    <t>Received the amount</t>
  </si>
  <si>
    <t>Required Certificates</t>
  </si>
  <si>
    <t>For ACCOUNTANT GENERAL OFFICE USE ONLY</t>
  </si>
  <si>
    <t>S.No.</t>
  </si>
  <si>
    <t>Spl.Pay
(HTA &amp;PHA)</t>
  </si>
  <si>
    <t>GROSS</t>
  </si>
  <si>
    <t>GOVT. DEDUCTION</t>
  </si>
  <si>
    <t>NET</t>
  </si>
  <si>
    <t>GIS</t>
  </si>
  <si>
    <t>P.TAX</t>
  </si>
  <si>
    <t>TOTAL</t>
  </si>
  <si>
    <t>Remarks</t>
  </si>
  <si>
    <t>PAY</t>
  </si>
  <si>
    <t>D.A.</t>
  </si>
  <si>
    <t>H.R.A.</t>
  </si>
  <si>
    <t>T.D.</t>
  </si>
  <si>
    <t>A.D.</t>
  </si>
  <si>
    <t>Diff.</t>
  </si>
  <si>
    <t>E.W.F.Loan</t>
  </si>
  <si>
    <t>1 ) Rs._________________ by transfer credit to the
    S.B.Accounts of the employee ( As per Annexure - I ).</t>
  </si>
  <si>
    <t>2 ) Rs._________________ by transfer credit to the
     D.D.O.Account  towards non- Government deductions.</t>
  </si>
  <si>
    <t>Total Non-Govt. Deductions Rs.</t>
  </si>
  <si>
    <t>Non-Plan=N/ Plan=P</t>
  </si>
  <si>
    <t>Pay Rs.</t>
  </si>
  <si>
    <t xml:space="preserve">        Cash/Cheque/Draft/Account Credit by adjustment.</t>
  </si>
  <si>
    <t>Amount to be 
Credited</t>
  </si>
  <si>
    <t>ANNEXURE - I</t>
  </si>
  <si>
    <t>(Employeewise details)</t>
  </si>
  <si>
    <t>(To be furnished by the DDO in triplicate along with the Bill)</t>
  </si>
  <si>
    <t>Employee 
Account No.</t>
  </si>
  <si>
    <t>NET Rs.</t>
  </si>
  <si>
    <t>Employee 
Code</t>
  </si>
  <si>
    <t>Name of the Employee</t>
  </si>
  <si>
    <t>Signature of the S.T.O.
(with Seal)</t>
  </si>
  <si>
    <t>Scale of Pay</t>
  </si>
  <si>
    <t>I.R.</t>
  </si>
  <si>
    <t>H.R.A(10%)</t>
  </si>
  <si>
    <t>Personal Pay</t>
  </si>
  <si>
    <t>Non-Govt.
Deduction</t>
  </si>
  <si>
    <t>LOAN</t>
  </si>
  <si>
    <t>A.G.NET</t>
  </si>
  <si>
    <t>Basic Pay</t>
  </si>
  <si>
    <t>A.G.Net : (Amount inwards ) :</t>
  </si>
  <si>
    <t>Class-IV G.P.F.D.T.O.</t>
  </si>
  <si>
    <t>015  I.R.</t>
  </si>
  <si>
    <t>016  H.R.A</t>
  </si>
  <si>
    <t>Pay Rs.______________( Rupees__________________________________________________________only ) by Cash/Cheque/Draft/Account Credit as under
 Rs._________________( Rupees__________________________________________________________only ) by adjustment.</t>
  </si>
  <si>
    <t>HTA</t>
  </si>
  <si>
    <t>P.P</t>
  </si>
  <si>
    <t>D.A</t>
  </si>
  <si>
    <t>1.  This is to certify that the Bill amount was not drawn previously.</t>
  </si>
  <si>
    <t>from 01.06.2010 to 30.06.2010 (1 Month)</t>
  </si>
  <si>
    <t>from 01.05.2010 to 31.05.2010 (1 Month)</t>
  </si>
  <si>
    <t>CPS</t>
  </si>
  <si>
    <t>BUDGET   PERTICULARS</t>
  </si>
  <si>
    <t>Present:</t>
  </si>
  <si>
    <t>Rc.No.</t>
  </si>
  <si>
    <t>SUB:-</t>
  </si>
  <si>
    <t>REF:-</t>
  </si>
  <si>
    <t xml:space="preserve">Copy to the individual </t>
  </si>
  <si>
    <t xml:space="preserve">Copy to the file </t>
  </si>
  <si>
    <t>ORDER:</t>
  </si>
  <si>
    <t>from 01.07.2010 to 31.07.2010 (1 Month)</t>
  </si>
  <si>
    <t>from 01.08.2010 to 31.08.2010 (1 Month)</t>
  </si>
  <si>
    <t>from 01.09.2010 to 30.09.2010 (1 Month)</t>
  </si>
  <si>
    <t>from 01.10.2010 to 31.10.2010 (1 Month)</t>
  </si>
  <si>
    <t>Name &amp; Designation of  the Employee
 with address</t>
  </si>
  <si>
    <t xml:space="preserve">Assistance to Local Bodies of Primary Education. </t>
  </si>
  <si>
    <t>2. G.O.Ms.No.52, Fin(PC-I) Department, Dated:25.02.2010</t>
  </si>
  <si>
    <t>7. The necessary entries have been made in the SERVICE REGISTER of the individual.</t>
  </si>
  <si>
    <t>Period</t>
  </si>
  <si>
    <t>Days</t>
  </si>
  <si>
    <t>Eligible</t>
  </si>
  <si>
    <t>Difference</t>
  </si>
  <si>
    <t>From</t>
  </si>
  <si>
    <t>HRA</t>
  </si>
  <si>
    <t>PT</t>
  </si>
  <si>
    <t>PART-II Adjustment to GPF for the period from 01-02-2010 to 28-02-2010</t>
  </si>
  <si>
    <t>Remarks:-</t>
  </si>
  <si>
    <t>2) Notional benifits from 01-07-2008 to 31-01-2010 and the arrears for the month of 02/2010 is credited to individual G.P.F A/C. And arrears for the month of 03/2010 is paid in cash.</t>
  </si>
  <si>
    <t>3) Certified that the amount claimed in this bill is not drawn earlier.</t>
  </si>
  <si>
    <t>Already Drawn</t>
  </si>
  <si>
    <t>BPay</t>
  </si>
  <si>
    <t>DA</t>
  </si>
  <si>
    <t>total</t>
  </si>
  <si>
    <t>31-07-2008</t>
  </si>
  <si>
    <t>31-08-2008</t>
  </si>
  <si>
    <t>30-09-2008</t>
  </si>
  <si>
    <t>31-10-2008</t>
  </si>
  <si>
    <t>30-11-2008</t>
  </si>
  <si>
    <t>31-12-2008</t>
  </si>
  <si>
    <t>31-01-2009</t>
  </si>
  <si>
    <t>28-02-2009</t>
  </si>
  <si>
    <t>31-03-2009</t>
  </si>
  <si>
    <t>30-04-2009</t>
  </si>
  <si>
    <t>31-05-2009</t>
  </si>
  <si>
    <t>30-06-2009</t>
  </si>
  <si>
    <t>31-07-2009</t>
  </si>
  <si>
    <t>30-09-2009</t>
  </si>
  <si>
    <t>31-10-2009</t>
  </si>
  <si>
    <t>30-11-2009</t>
  </si>
  <si>
    <t>31-12-2009</t>
  </si>
  <si>
    <t>31-01-2010</t>
  </si>
  <si>
    <t>28-02-2010</t>
  </si>
  <si>
    <t>31-03-2010</t>
  </si>
  <si>
    <t>30-04-2010</t>
  </si>
  <si>
    <t>31-05-2010</t>
  </si>
  <si>
    <t>30-06-2010</t>
  </si>
  <si>
    <t>31-08-2010</t>
  </si>
  <si>
    <t>30-09-2010</t>
  </si>
  <si>
    <t>Junior date of increment earlier than that of Senior - Preponement of</t>
  </si>
  <si>
    <t>SENIOR</t>
  </si>
  <si>
    <t>JUNIOR</t>
  </si>
  <si>
    <t>have been verified and compared as follows.</t>
  </si>
  <si>
    <t>1.Date of Joining as SGT</t>
  </si>
  <si>
    <t>JANUARY</t>
  </si>
  <si>
    <t>2.E.O.L if any</t>
  </si>
  <si>
    <t>Nil</t>
  </si>
  <si>
    <t>3.Date of Normal Increment</t>
  </si>
  <si>
    <t>4.Date from which opted to RPS,2010</t>
  </si>
  <si>
    <t>5.Pay in existing Scale of Pay</t>
  </si>
  <si>
    <t>6.Pay Fixed as on 01.07.2008</t>
  </si>
  <si>
    <t>7.Scale of Pay in RPS,2010</t>
  </si>
  <si>
    <t>8.Date of next increment</t>
  </si>
  <si>
    <t>9.Pay after increment</t>
  </si>
  <si>
    <t>01.07.2008</t>
  </si>
  <si>
    <t>Rs.6350/-</t>
  </si>
  <si>
    <t>Rs.11530/-</t>
  </si>
  <si>
    <t>10900 -31550</t>
  </si>
  <si>
    <t>01.01.2009</t>
  </si>
  <si>
    <t>Rs.11860/-</t>
  </si>
  <si>
    <t>Rs.6195/-</t>
  </si>
  <si>
    <t>30-11-2010</t>
  </si>
  <si>
    <t>from 01.11.2010 to 30.11.2010 (1 Month)</t>
  </si>
  <si>
    <t>from 01.12.2010 to 31.12.2010 (1 Month)</t>
  </si>
  <si>
    <t>from 01.04.2010 to 30.04.2010 (1 Month)</t>
  </si>
  <si>
    <t>from 01.03.2010 to 31.03.2010 (1 Month)</t>
  </si>
  <si>
    <t>11530-33200</t>
  </si>
  <si>
    <t>SUPPLIMENTARY BILL FOR PREPONEMENT FIXATION FROM 01.02.2010 TO 31.12.2010</t>
  </si>
  <si>
    <t>ZPPF(8338)</t>
  </si>
  <si>
    <t>4. G.O.Ms.No.242, Fin(PC-II) Department, Dated:08.07.2010</t>
  </si>
  <si>
    <t>5. G.O.Ms.No.64, Fin(PC-I) Department, Dated:09.03.2010</t>
  </si>
  <si>
    <t>3. G.O.Ms.No.93, Fin(PC-I) Department, Dated:09.03.2010</t>
  </si>
  <si>
    <t>from 01.02.2010 to 28.02.2010 (I Month)</t>
  </si>
  <si>
    <t xml:space="preserve">increment on par with date of increment of Junior- Sanctioned -Orders </t>
  </si>
  <si>
    <t>Issued.</t>
  </si>
  <si>
    <t>M.RAMAMURTY</t>
  </si>
  <si>
    <t>P.LAKSHMI NARAYANA</t>
  </si>
  <si>
    <t>28/01/2002</t>
  </si>
  <si>
    <t>EOL-205days</t>
  </si>
  <si>
    <t>AUGUST</t>
  </si>
  <si>
    <t>01.08.2008</t>
  </si>
  <si>
    <t>date increment of Senior is preponed from 01.01.2009 to 01.08.2008 on par with his said junior.</t>
  </si>
  <si>
    <t>31/08/2009</t>
  </si>
  <si>
    <t>31-07-2010</t>
  </si>
  <si>
    <t>Sri M.RAMAMURTY, SGT,
Id.No.0239719,
MPPS, R.V.S.NAGAR</t>
  </si>
  <si>
    <t>1) As per GO. Ms.No.52, Finance (PC.I) Department dated:25.02.2010 and this office procgs No:____/____/2010 dated:___-09-2010, the pay fixation arrears in respect of the individual is claimed.</t>
  </si>
  <si>
    <t>Mandal Educational Officer,
ANAKAPALLI Mandal,Visakhapatnam Dt.</t>
  </si>
  <si>
    <t xml:space="preserve">PERMANENT  ESTABLISHMENT OF MANDAL PARISHAD, ANAKAPALLI, FOR THE MONTH OF DECEMBER,2010 </t>
  </si>
  <si>
    <t xml:space="preserve">             Name of the NPB  : SBI  ANAKAPALLI                               Month:</t>
  </si>
  <si>
    <r>
      <t xml:space="preserve">District                 </t>
    </r>
    <r>
      <rPr>
        <sz val="10"/>
        <rFont val="Arial"/>
        <family val="2"/>
      </rPr>
      <t xml:space="preserve"> :  Visakhapatnam</t>
    </r>
  </si>
  <si>
    <t>DDO Designation :</t>
  </si>
  <si>
    <t>(Sub-MH)</t>
  </si>
  <si>
    <t>1)</t>
  </si>
  <si>
    <t>2)</t>
  </si>
  <si>
    <t>DDO Signature</t>
  </si>
  <si>
    <t>31/01/2011</t>
  </si>
  <si>
    <t>28/02/2011</t>
  </si>
  <si>
    <t>31/03/2011</t>
  </si>
  <si>
    <t>30/04/2011</t>
  </si>
  <si>
    <t>31/05/2011</t>
  </si>
  <si>
    <t>30/06/2011</t>
  </si>
  <si>
    <t>31/07/2011</t>
  </si>
  <si>
    <t>31/08/2011</t>
  </si>
  <si>
    <t>( RUPEES TWO THOUSAND NINE HUNDRED NINETYFIVE ONLY )</t>
  </si>
  <si>
    <t>30/09/2011</t>
  </si>
  <si>
    <t>PART-III CASH for the period from 01-03-2010 to 30-09-2011</t>
  </si>
  <si>
    <t>Certified that every officer named below has been either (1) of the incumbent of the appointment indicated against his name for a period of not less than since that date in column (5) if he has been suspended for misconduct column (7) after deducting peri</t>
  </si>
  <si>
    <t xml:space="preserve">(Signature )………………………….…………………………….                                                                                                                     </t>
  </si>
  <si>
    <t xml:space="preserve">(Designation  )…………………………………………………….                                                                                                                     </t>
  </si>
  <si>
    <t>Serial No</t>
  </si>
  <si>
    <t xml:space="preserve">Name </t>
  </si>
  <si>
    <t>Appointment</t>
  </si>
  <si>
    <t xml:space="preserve">Whether Substantive of officiating </t>
  </si>
  <si>
    <t>Date fromk which present pay is  drawn</t>
  </si>
  <si>
    <t>Suspension for misconduct</t>
  </si>
  <si>
    <t xml:space="preserve">Leave without pay and in the case of those holding the post temporarily or in an officiating capacity all kinds of leave or her than leave on average say during which they would have continued to officiate in the posts but for their going on leave upto a </t>
  </si>
  <si>
    <t xml:space="preserve">Date from which increment may be  given </t>
  </si>
  <si>
    <t>Present Pay</t>
  </si>
  <si>
    <t xml:space="preserve">Amount    of increment </t>
  </si>
  <si>
    <t>Future    Pay</t>
  </si>
  <si>
    <t xml:space="preserve">   From   To</t>
  </si>
  <si>
    <t xml:space="preserve">     From                     To</t>
  </si>
  <si>
    <t xml:space="preserve">   6           7    </t>
  </si>
  <si>
    <t>8                        9</t>
  </si>
  <si>
    <t>SGT</t>
  </si>
  <si>
    <t>Substantive</t>
  </si>
  <si>
    <t>01.08.10</t>
  </si>
  <si>
    <t>Note:-</t>
  </si>
  <si>
    <t>31-12-2010</t>
  </si>
  <si>
    <t>31-10-2010</t>
  </si>
  <si>
    <t>01.08.11</t>
  </si>
  <si>
    <t xml:space="preserve">DDO Code : </t>
  </si>
  <si>
    <t>Treasury /PAO Code</t>
  </si>
  <si>
    <t>STO NAME</t>
  </si>
  <si>
    <t>Trans ID</t>
  </si>
  <si>
    <t>DDO CODE</t>
  </si>
  <si>
    <t>The Treasury Officer/Manager</t>
  </si>
  <si>
    <t>DDO DESIGNATION:</t>
  </si>
  <si>
    <t xml:space="preserve">DDO Office Name: </t>
  </si>
  <si>
    <t>BANK BRANCH CODE:</t>
  </si>
  <si>
    <t>Sir,</t>
  </si>
  <si>
    <t>Please Pay Bill No:</t>
  </si>
  <si>
    <t>Dated.</t>
  </si>
  <si>
    <t>X</t>
  </si>
  <si>
    <t xml:space="preserve">Net Rupees in Words: </t>
  </si>
  <si>
    <t>(Grp-SH)</t>
  </si>
  <si>
    <t xml:space="preserve">for the office of </t>
  </si>
  <si>
    <t>(Sub Head)</t>
  </si>
  <si>
    <t>(Det.Head)</t>
  </si>
  <si>
    <t>(Sub.Det.Head)</t>
  </si>
  <si>
    <t xml:space="preserve"> whose specimen signature is attested here with.</t>
  </si>
  <si>
    <t>Signature of the Govt.Servant</t>
  </si>
  <si>
    <t>Non-Plan-N     plan-p</t>
  </si>
  <si>
    <t>Charged-C  Voted-V</t>
  </si>
  <si>
    <t>Contingency Fund MH/       Service Major Head</t>
  </si>
  <si>
    <t>Signature of the DDO</t>
  </si>
  <si>
    <t>Gross  Rs.</t>
  </si>
  <si>
    <t>Deductions:</t>
  </si>
  <si>
    <t>Net Rs.</t>
  </si>
  <si>
    <t>Net Rupees in Words :</t>
  </si>
  <si>
    <t>Designation</t>
  </si>
  <si>
    <t xml:space="preserve">Specimen Signature  of Messenger        </t>
  </si>
  <si>
    <t>Signature of the Govt. Servant receiving the payment</t>
  </si>
  <si>
    <t>APTC FORM - 101</t>
  </si>
  <si>
    <t>GOVERNMENT OF ANDHRAPRADESH</t>
  </si>
  <si>
    <t>See Subsidiary Rules 2 (W) Under Treasury Rule 15</t>
  </si>
  <si>
    <t>PAPER TOKEN</t>
  </si>
  <si>
    <t>Govt.Memo.No. 38907/Accounts/65-5 Dt:- 21.02.1963</t>
  </si>
  <si>
    <t>STO CODE</t>
  </si>
  <si>
    <r>
      <t xml:space="preserve">Messenger Name Sri                                        </t>
    </r>
    <r>
      <rPr>
        <b/>
        <u val="single"/>
        <sz val="8"/>
        <rFont val="Verdana"/>
        <family val="2"/>
      </rPr>
      <t xml:space="preserve"> </t>
    </r>
  </si>
  <si>
    <t>Date:</t>
  </si>
  <si>
    <t>D.D.O.Office Name :</t>
  </si>
  <si>
    <t xml:space="preserve"> Bank Name   :      </t>
  </si>
  <si>
    <t xml:space="preserve"> for Net </t>
  </si>
  <si>
    <t>Date________   (For Treasury use only)</t>
  </si>
  <si>
    <t>Under</t>
  </si>
  <si>
    <t xml:space="preserve">The grant of the increment in column (13) to Nos.               1 to 3                        Is sanctioned                   (Signature )...................................................                         </t>
  </si>
  <si>
    <t xml:space="preserve">Note : Explinatory Memorandum in respect of  No.                                           Is attached                        (Designation)…………                         </t>
  </si>
  <si>
    <t xml:space="preserve">     Note :     When the increment claimed is the first to first to carry the incumber over an efficiency but column (5) to (10) and (11) should be filled up in red ink. </t>
  </si>
  <si>
    <t>Note:- H.R.A. from 1/7/2008 to 20/8/2009 @10%</t>
  </si>
  <si>
    <t xml:space="preserve">          H.R.A. from 21/8/2009 @12.5%</t>
  </si>
  <si>
    <t>Total</t>
  </si>
  <si>
    <t xml:space="preserve">                            D.A. from 1/1/2011 @29.96%</t>
  </si>
  <si>
    <t xml:space="preserve">                           H.R.A. from 1/4/2011@14.5%</t>
  </si>
  <si>
    <t xml:space="preserve">                               D.A. from 1/7/2010 @24.824%</t>
  </si>
  <si>
    <t>Pay raised due to</t>
  </si>
  <si>
    <t>as on</t>
  </si>
  <si>
    <t>Pay raised to</t>
  </si>
  <si>
    <t>Annual Grade Increment</t>
  </si>
  <si>
    <t>11860/-</t>
  </si>
  <si>
    <t>12190/-</t>
  </si>
  <si>
    <t>12550/-</t>
  </si>
  <si>
    <t>12910/-</t>
  </si>
  <si>
    <t xml:space="preserve"> Annual Grade Increment </t>
  </si>
  <si>
    <t>13270/-</t>
  </si>
  <si>
    <t>1. G.O.(P) No . 52 /Fin and Planning(FW:PC-1) Dept.,Dt. 25.02.2010</t>
  </si>
  <si>
    <t>2. Govt. Circular Memo No. 33327-A/549/A1/PC-I/2009 dated: 13.03.2010</t>
  </si>
  <si>
    <t>3. G.O.Ms. No . 93 /Fin (PC-II) Dept.,Dt. 03.04.2010</t>
  </si>
  <si>
    <t>4. Govt. Circular Memo No. 12254/133/PC-II/2010 dated: 30.08.2010</t>
  </si>
  <si>
    <t>5. Application of the Individual Concern.</t>
  </si>
  <si>
    <t xml:space="preserve">                Next  Annual Grade Increment on 1/08/2012</t>
  </si>
  <si>
    <t xml:space="preserve">             Annual Grade Increment</t>
  </si>
  <si>
    <t xml:space="preserve">          In view of the above reference 1st cited, under provision (iii) Rule 7of APRSP Rules,2010 </t>
  </si>
  <si>
    <t xml:space="preserve">date of increment of his Junior  Sri P.Lakshmi narayana,SGT,MPPS,GOLLAPETA,PARAVADA mandal. </t>
  </si>
  <si>
    <t xml:space="preserve">later date in audit  due to erroneous fixation of pay,such excess  amount shall be recovered from him </t>
  </si>
  <si>
    <t>in lump sum without any further notice.</t>
  </si>
  <si>
    <t>The necessary entries are made in the Serivice Reister under proper attestation.</t>
  </si>
  <si>
    <t xml:space="preserve">  more pay earlier inspite of fixation of pay at the same stage.</t>
  </si>
  <si>
    <t xml:space="preserve"> due to sanction of increments in RPS,2010, the junior's date of increment is  earlier and drawing</t>
  </si>
  <si>
    <t xml:space="preserve">      AAS</t>
  </si>
  <si>
    <t>Total of Notional period from 01-07-2008 to 31-01-2010</t>
  </si>
  <si>
    <t>WORK SHEET</t>
  </si>
  <si>
    <t>Individual Data</t>
  </si>
  <si>
    <t>NAME OF THE TEACHER</t>
  </si>
  <si>
    <t xml:space="preserve">SCHOOL </t>
  </si>
  <si>
    <t>M.P.P.SCHOOL</t>
  </si>
  <si>
    <t>VILLAGE / TOWN</t>
  </si>
  <si>
    <t>R.V.S.NAGAR</t>
  </si>
  <si>
    <t>MANDAL</t>
  </si>
  <si>
    <t>DISTRICT</t>
  </si>
  <si>
    <t>EMPLOYEE CODE</t>
  </si>
  <si>
    <t>BANK ACCOUNT NO.</t>
  </si>
  <si>
    <t xml:space="preserve">G.P.F / ZPPF </t>
  </si>
  <si>
    <t>Z.P.P.F.</t>
  </si>
  <si>
    <t>G.P.F / ZPPF NO.</t>
  </si>
  <si>
    <t>APGLI No.</t>
  </si>
  <si>
    <t>APGLI PREMIUM</t>
  </si>
  <si>
    <t>:Rs</t>
  </si>
  <si>
    <t>DDO Data</t>
  </si>
  <si>
    <t>PROCEEDINGS Rc.No.</t>
  </si>
  <si>
    <t>PROCEEDINGS DATE</t>
  </si>
  <si>
    <r>
      <t xml:space="preserve">NAME OF THE D.D.O.( </t>
    </r>
    <r>
      <rPr>
        <b/>
        <sz val="10"/>
        <color indexed="10"/>
        <rFont val="Arial"/>
        <family val="2"/>
      </rPr>
      <t>IF G.H.M. Enter Dy.E.O.</t>
    </r>
    <r>
      <rPr>
        <b/>
        <sz val="10"/>
        <rFont val="Arial"/>
        <family val="2"/>
      </rPr>
      <t xml:space="preserve"> )</t>
    </r>
  </si>
  <si>
    <t xml:space="preserve">DDO CODE </t>
  </si>
  <si>
    <t>NAME OF SUB-TREASURY</t>
  </si>
  <si>
    <t>BANK CODE</t>
  </si>
  <si>
    <t>NAME OF THE BANK</t>
  </si>
  <si>
    <t>NAME OF THE MESSENGER</t>
  </si>
  <si>
    <t>MESSENGER DESIGNATION</t>
  </si>
  <si>
    <t>ARE  YOU A GAZITTED HEAD MASTER?</t>
  </si>
  <si>
    <t>NO</t>
  </si>
  <si>
    <t>YOUR EDUCATIONAL DIVISION NAME</t>
  </si>
  <si>
    <r>
      <t>BILL CLAIMED UPTO (</t>
    </r>
    <r>
      <rPr>
        <b/>
        <sz val="10"/>
        <color indexed="10"/>
        <rFont val="Arial"/>
        <family val="2"/>
      </rPr>
      <t>LAST DAY OF MONTH</t>
    </r>
    <r>
      <rPr>
        <b/>
        <sz val="10"/>
        <rFont val="Arial"/>
        <family val="2"/>
      </rPr>
      <t>)</t>
    </r>
  </si>
  <si>
    <t>JULY</t>
  </si>
  <si>
    <t>POST OF JOINING THROUGH D.Sc</t>
  </si>
  <si>
    <t>S.G.T.</t>
  </si>
  <si>
    <t>DATE OF JOINING THROUGH D.Sc</t>
  </si>
  <si>
    <t>NEXT INCREMENT DATE</t>
  </si>
  <si>
    <t>DATE OF PROMOTION</t>
  </si>
  <si>
    <t>FEBRUARY</t>
  </si>
  <si>
    <t>YOUR ADDITIONAL ALLOWANCES-1</t>
  </si>
  <si>
    <t>NIL</t>
  </si>
  <si>
    <t>YOUR ADDITIONAL ALLOWANCES-2</t>
  </si>
  <si>
    <t>YOUR ADDITIONAL ALLOWANCES-3</t>
  </si>
  <si>
    <t>TO INCREMENT MONTH</t>
  </si>
  <si>
    <t>HRA DIFFERENCE DATE ADJUSTMENT</t>
  </si>
  <si>
    <t>FITMENT</t>
  </si>
  <si>
    <t>basic</t>
  </si>
  <si>
    <t>d.a</t>
  </si>
  <si>
    <t>fitment</t>
  </si>
  <si>
    <t>revised basic pay</t>
  </si>
  <si>
    <t>notional last date</t>
  </si>
  <si>
    <t>pf last date</t>
  </si>
  <si>
    <t>incremts</t>
  </si>
  <si>
    <t>normal</t>
  </si>
  <si>
    <t>8/16/24 years</t>
  </si>
  <si>
    <t>PROMOTION</t>
  </si>
  <si>
    <t>zppf/g.p.f</t>
  </si>
  <si>
    <t>AGE EXEMPTION</t>
  </si>
  <si>
    <t>TYPE SCHOOL</t>
  </si>
  <si>
    <t>ALWANCES</t>
  </si>
  <si>
    <t>TOTAL INCREMENTS</t>
  </si>
  <si>
    <t>N HANUMANTHA RAO</t>
  </si>
  <si>
    <t>G.H.SCHOOL</t>
  </si>
  <si>
    <t>THIMMAIAHAPALEM</t>
  </si>
  <si>
    <t>ADDANKI MANDAL</t>
  </si>
  <si>
    <t>PRAKASAM</t>
  </si>
  <si>
    <t>L2101450A</t>
  </si>
  <si>
    <t>DO YOU HAVE EXEMPTION WITH AGE ?(APGLI)</t>
  </si>
  <si>
    <t>YES</t>
  </si>
  <si>
    <t>45/A/2010</t>
  </si>
  <si>
    <t>DATE ON WHICH OPTION WAS EXCERCISED</t>
  </si>
  <si>
    <t>NAME OF THE D.D.O.( IF G.H.M. Enter Dy.E.O. )</t>
  </si>
  <si>
    <t>B VIJAYA BHASKHAR M.A.,B.Ed.</t>
  </si>
  <si>
    <t>STO, ADDANKI</t>
  </si>
  <si>
    <t>SBI,ADDANKI</t>
  </si>
  <si>
    <t>M PRASADA RAO</t>
  </si>
  <si>
    <t>R.ASST.</t>
  </si>
  <si>
    <t>PARCHOOR</t>
  </si>
  <si>
    <t>Bill Data</t>
  </si>
  <si>
    <t>IF TIME SCALE STARTS AFTER 1/7/2008 THEN ENTER TIME SCALE DATE OTHERWISE ENTER 1/7/2008</t>
  </si>
  <si>
    <t>BILL CLAIMED UPTO (LAST DAY OF MONTH)</t>
  </si>
  <si>
    <t>MAY</t>
  </si>
  <si>
    <t>POST HELD ( AS ON 1/07/2008 )</t>
  </si>
  <si>
    <t>S.A.(M)</t>
  </si>
  <si>
    <t>SCALE ( ORDINARY / SG / SPP / SAPP )</t>
  </si>
  <si>
    <t>S.P.P-1</t>
  </si>
  <si>
    <t>TYPE OF SCHOOL NOW WORKING</t>
  </si>
  <si>
    <t>G.H.School</t>
  </si>
  <si>
    <t>WHETHER SUBSTANTIVE OR OFFICIATING</t>
  </si>
  <si>
    <t>SUBSTANTIVE</t>
  </si>
  <si>
    <t>BASIC PAY ( AS ON 1ST JULY, 2008 )</t>
  </si>
  <si>
    <t>F.P</t>
  </si>
  <si>
    <t>SCALE OF PAY</t>
  </si>
  <si>
    <t>7200-16925</t>
  </si>
  <si>
    <t>HRA % (ON 1/7/2008)</t>
  </si>
  <si>
    <t>IF HRA CHANGED THEN CHANGED HRA %</t>
  </si>
  <si>
    <t>HRA%  CHANGED DATE</t>
  </si>
  <si>
    <t>INCREMENT MONTH ( ON 1ST JULY 2008 )</t>
  </si>
  <si>
    <t>SEPTEMBER</t>
  </si>
  <si>
    <t>DATE OF JOIN IN THE  POST WHICH HELD ON 1/7/2008</t>
  </si>
  <si>
    <t>DID YOU GET PROMOTION AFTER 01-07-08 ?</t>
  </si>
  <si>
    <t>PROMO. FIX. OPTED (D.O.P. / NEXT INCRE.)</t>
  </si>
  <si>
    <t>POST HELD ( AFTER PROMOTION )</t>
  </si>
  <si>
    <t>H.M</t>
  </si>
  <si>
    <t>SCALE OF PAY ( AFTER PROMOTION )</t>
  </si>
  <si>
    <t>Do you have step-up?</t>
  </si>
  <si>
    <t>If yes then Basic after step-up</t>
  </si>
  <si>
    <t>AA SCHEME G.O. No. &amp; DATE</t>
  </si>
  <si>
    <t>SPL. PAYS &amp; ALLOWANCES G.O. No. &amp; DATE</t>
  </si>
  <si>
    <t>post</t>
  </si>
  <si>
    <t>1=sgt</t>
  </si>
  <si>
    <t>date of joining</t>
  </si>
  <si>
    <t>whether promoted or not</t>
  </si>
  <si>
    <t>1=promoted</t>
  </si>
  <si>
    <t>if promoted promotion date</t>
  </si>
  <si>
    <t>if promoted then increment date or promotion date</t>
  </si>
  <si>
    <t>1=promotion date</t>
  </si>
  <si>
    <t>bill claiming date</t>
  </si>
  <si>
    <t>1st prc date</t>
  </si>
  <si>
    <t>2nd prc date</t>
  </si>
  <si>
    <t>dates ascending for increments in old basics</t>
  </si>
  <si>
    <t>starting basic on completion of apprentice</t>
  </si>
  <si>
    <t>old basic</t>
  </si>
  <si>
    <t>new basic</t>
  </si>
  <si>
    <t>promotion stage</t>
  </si>
  <si>
    <t>1993 basics</t>
  </si>
  <si>
    <t>1998 basics</t>
  </si>
  <si>
    <t>2003 basics</t>
  </si>
  <si>
    <t>1993 increments</t>
  </si>
  <si>
    <t>1998 increments</t>
  </si>
  <si>
    <t>2003 increments</t>
  </si>
  <si>
    <t>1998 fitment amount</t>
  </si>
  <si>
    <t>1998 fitment basic</t>
  </si>
  <si>
    <t>2003 fitment amount</t>
  </si>
  <si>
    <t>2003 fitment basic</t>
  </si>
  <si>
    <t>1993 two incremnts</t>
  </si>
  <si>
    <t>1998 two increments</t>
  </si>
  <si>
    <t>2003 two increments</t>
  </si>
  <si>
    <t>subsequeent basics</t>
  </si>
  <si>
    <t xml:space="preserve">date </t>
  </si>
  <si>
    <t>increment</t>
  </si>
  <si>
    <t>prc</t>
  </si>
  <si>
    <t>promotion with option date</t>
  </si>
  <si>
    <t>promotion with increment date</t>
  </si>
  <si>
    <t>prc option</t>
  </si>
  <si>
    <t>promotion opted for promotion date</t>
  </si>
  <si>
    <t>promotion opted for increment date</t>
  </si>
  <si>
    <t>old</t>
  </si>
  <si>
    <t>promotion opted</t>
  </si>
  <si>
    <t>increment date opted</t>
  </si>
  <si>
    <t>inc/pro date</t>
  </si>
  <si>
    <t>hra change dates</t>
  </si>
  <si>
    <t>from</t>
  </si>
  <si>
    <t>to</t>
  </si>
  <si>
    <t>old cca</t>
  </si>
  <si>
    <t>new cca</t>
  </si>
  <si>
    <t>new</t>
  </si>
  <si>
    <t>da</t>
  </si>
  <si>
    <t>hra</t>
  </si>
  <si>
    <t>IR</t>
  </si>
  <si>
    <t>pp</t>
  </si>
  <si>
    <t>pha</t>
  </si>
  <si>
    <t>cca</t>
  </si>
  <si>
    <t>sub total</t>
  </si>
  <si>
    <t>pay</t>
  </si>
  <si>
    <t>ir</t>
  </si>
  <si>
    <t>OLD</t>
  </si>
  <si>
    <t>hma</t>
  </si>
  <si>
    <t>subtotal</t>
  </si>
  <si>
    <t>subtoatal</t>
  </si>
  <si>
    <t>P.F</t>
  </si>
  <si>
    <t>cash</t>
  </si>
  <si>
    <t>P.ATCHUTHA RAO,M.A.,B.Ed.,</t>
  </si>
  <si>
    <t xml:space="preserve">PROCEEDINGS DATE </t>
  </si>
  <si>
    <t>27/10/2011</t>
  </si>
  <si>
    <t>OCT</t>
  </si>
  <si>
    <t>JAN</t>
  </si>
  <si>
    <t xml:space="preserve">Mandal has represented to prepone his date of increment from 01.01.2009 to 01.08.2008 on par the with the </t>
  </si>
  <si>
    <r>
      <t xml:space="preserve"> 01.07.2008   </t>
    </r>
    <r>
      <rPr>
        <sz val="8"/>
        <rFont val="Bookman Old Style"/>
        <family val="1"/>
      </rPr>
      <t>(without increment</t>
    </r>
    <r>
      <rPr>
        <sz val="10"/>
        <rFont val="Bookman Old Style"/>
        <family val="1"/>
      </rPr>
      <t>)</t>
    </r>
  </si>
  <si>
    <t xml:space="preserve"> SEVENTY ONE</t>
  </si>
  <si>
    <t xml:space="preserve">      / 2011 - 12</t>
  </si>
  <si>
    <t>Budget Allowtted for the Year - 2011- 12</t>
  </si>
  <si>
    <t xml:space="preserve">     BANK NAME :</t>
  </si>
  <si>
    <t>Trans ID No. :</t>
  </si>
  <si>
    <t xml:space="preserve">               Date :</t>
  </si>
  <si>
    <t>IN THE MONTH OF</t>
  </si>
  <si>
    <t>Sl.No</t>
  </si>
  <si>
    <t>Name of the Subscriber</t>
  </si>
  <si>
    <t>Employee Code</t>
  </si>
  <si>
    <t>P.F.No</t>
  </si>
  <si>
    <t>PRC ARREAR CREDITED TO P.F.</t>
  </si>
  <si>
    <t>Refunds or with Drawls</t>
  </si>
  <si>
    <t>Total Amount released</t>
  </si>
  <si>
    <t>Amount</t>
  </si>
  <si>
    <t>No. of inst</t>
  </si>
  <si>
    <t>D.D.O. SIGN</t>
  </si>
  <si>
    <t>refunds or with Drawls</t>
  </si>
  <si>
    <t>D.D.O.OFFICE NAME :</t>
  </si>
  <si>
    <t>239719</t>
  </si>
  <si>
    <t>31/10/2011</t>
  </si>
  <si>
    <t>august</t>
  </si>
  <si>
    <t>FEB</t>
  </si>
  <si>
    <t>MAR</t>
  </si>
  <si>
    <t>APR</t>
  </si>
  <si>
    <t>JUN</t>
  </si>
  <si>
    <t>JUL</t>
  </si>
  <si>
    <t>AUG</t>
  </si>
  <si>
    <t>SEP</t>
  </si>
  <si>
    <t>NOV</t>
  </si>
  <si>
    <t>DEC</t>
  </si>
  <si>
    <t>DATE OF AAS</t>
  </si>
  <si>
    <t>R.Gopikrishna</t>
  </si>
  <si>
    <t>M.P.U.P.SCHOOL</t>
  </si>
  <si>
    <t>DATE OF JOINING IN PRESENT SCHOOL</t>
  </si>
  <si>
    <t xml:space="preserve"> NEW  HRA %  AFTER  1/4/2011</t>
  </si>
  <si>
    <t xml:space="preserve">IF   HRA  CHANGED   AFTER </t>
  </si>
  <si>
    <t>K.SRINIVASARAO</t>
  </si>
  <si>
    <t>PEDAPADU</t>
  </si>
  <si>
    <t>WEST GODAVARI</t>
  </si>
  <si>
    <t>M.P. PEDAPADU</t>
  </si>
  <si>
    <t>STO, ELURU</t>
  </si>
  <si>
    <t>SBI, ELURU</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</si>
</sst>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409]h:mm:ss\ AM/P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m/d"/>
    <numFmt numFmtId="173" formatCode="&quot;$&quot;#,##0.00"/>
    <numFmt numFmtId="174" formatCode="m/d/yyyy;@"/>
    <numFmt numFmtId="175" formatCode="[$-409]d\-mmm\-yy;@"/>
    <numFmt numFmtId="176" formatCode="[$-409]dd\-mmm\-yy;@"/>
    <numFmt numFmtId="177" formatCode="mmm\-yyyy"/>
    <numFmt numFmtId="178" formatCode="[$-409]mmmm\-yy;@"/>
    <numFmt numFmtId="179" formatCode="&quot;Rs.&quot;#,##0.00"/>
    <numFmt numFmtId="180" formatCode="[$-809]d\ mmmm\ yyyy;@"/>
    <numFmt numFmtId="181" formatCode="m/d/yy;@"/>
    <numFmt numFmtId="182" formatCode="[$-409]d\-mmm\-yyyy;@"/>
    <numFmt numFmtId="183" formatCode="[$-F800]dddd\,\ mmmm\ dd\,\ yyyy"/>
    <numFmt numFmtId="184" formatCode="[$-409]m/d/yy\ h:mm\ AM/PM;@"/>
    <numFmt numFmtId="185" formatCode="d/m/yy"/>
    <numFmt numFmtId="186" formatCode="\ dd/mm/yyyy"/>
    <numFmt numFmtId="187" formatCode="0;[Red]0"/>
  </numFmts>
  <fonts count="91">
    <font>
      <sz val="10"/>
      <name val="Arial"/>
      <family val="0"/>
    </font>
    <font>
      <sz val="8"/>
      <name val="Arial"/>
      <family val="0"/>
    </font>
    <font>
      <sz val="9"/>
      <name val="Arial"/>
      <family val="0"/>
    </font>
    <font>
      <sz val="7"/>
      <name val="Arial"/>
      <family val="2"/>
    </font>
    <font>
      <sz val="11"/>
      <name val="Arial"/>
      <family val="2"/>
    </font>
    <font>
      <sz val="12"/>
      <name val="Times New Roman"/>
      <family val="1"/>
    </font>
    <font>
      <u val="single"/>
      <sz val="14"/>
      <name val="Arial"/>
      <family val="2"/>
    </font>
    <font>
      <sz val="14"/>
      <name val="Arial"/>
      <family val="2"/>
    </font>
    <font>
      <sz val="10"/>
      <name val="Arial Rounded MT Bold"/>
      <family val="2"/>
    </font>
    <font>
      <u val="single"/>
      <sz val="10"/>
      <name val="Arial"/>
      <family val="2"/>
    </font>
    <font>
      <sz val="12"/>
      <name val="Arial"/>
      <family val="2"/>
    </font>
    <font>
      <u val="single"/>
      <sz val="12"/>
      <name val="Arial"/>
      <family val="2"/>
    </font>
    <font>
      <b/>
      <sz val="10"/>
      <name val="Arial"/>
      <family val="2"/>
    </font>
    <font>
      <b/>
      <sz val="9"/>
      <name val="Arial"/>
      <family val="2"/>
    </font>
    <font>
      <sz val="10"/>
      <name val="Bookman Old Style"/>
      <family val="1"/>
    </font>
    <font>
      <sz val="8"/>
      <name val="Bookman Old Style"/>
      <family val="1"/>
    </font>
    <font>
      <sz val="9"/>
      <name val="Bookman Old Style"/>
      <family val="1"/>
    </font>
    <font>
      <b/>
      <sz val="11"/>
      <name val="Arial"/>
      <family val="2"/>
    </font>
    <font>
      <b/>
      <u val="single"/>
      <sz val="12"/>
      <name val="Arial"/>
      <family val="2"/>
    </font>
    <font>
      <b/>
      <sz val="12"/>
      <name val="Bookman Old Style"/>
      <family val="1"/>
    </font>
    <font>
      <u val="single"/>
      <sz val="10"/>
      <color indexed="12"/>
      <name val="Arial"/>
      <family val="0"/>
    </font>
    <font>
      <u val="single"/>
      <sz val="10"/>
      <color indexed="20"/>
      <name val="Arial"/>
      <family val="0"/>
    </font>
    <font>
      <b/>
      <u val="single"/>
      <sz val="10"/>
      <name val="Bookman Old Style"/>
      <family val="1"/>
    </font>
    <font>
      <b/>
      <sz val="14"/>
      <name val="Arial"/>
      <family val="2"/>
    </font>
    <font>
      <b/>
      <sz val="12"/>
      <name val="Arial"/>
      <family val="2"/>
    </font>
    <font>
      <sz val="12"/>
      <name val="Baskerville Old Face"/>
      <family val="1"/>
    </font>
    <font>
      <b/>
      <sz val="9"/>
      <name val="Times New Roman"/>
      <family val="1"/>
    </font>
    <font>
      <sz val="10"/>
      <name val="Verdana"/>
      <family val="2"/>
    </font>
    <font>
      <sz val="8"/>
      <name val="Verdana"/>
      <family val="2"/>
    </font>
    <font>
      <b/>
      <sz val="14"/>
      <name val="Verdana"/>
      <family val="2"/>
    </font>
    <font>
      <b/>
      <sz val="8"/>
      <name val="Verdana"/>
      <family val="2"/>
    </font>
    <font>
      <b/>
      <sz val="8"/>
      <name val="Telugu Lipi"/>
      <family val="2"/>
    </font>
    <font>
      <b/>
      <sz val="8"/>
      <name val="Arial"/>
      <family val="2"/>
    </font>
    <font>
      <u val="single"/>
      <sz val="8"/>
      <name val="Verdana"/>
      <family val="2"/>
    </font>
    <font>
      <b/>
      <sz val="8"/>
      <name val="Courier New"/>
      <family val="3"/>
    </font>
    <font>
      <b/>
      <u val="single"/>
      <sz val="8"/>
      <name val="Verdana"/>
      <family val="2"/>
    </font>
    <font>
      <sz val="12"/>
      <name val="Arial Rounded MT Bold"/>
      <family val="2"/>
    </font>
    <font>
      <sz val="12"/>
      <color indexed="8"/>
      <name val="Times New Roman"/>
      <family val="1"/>
    </font>
    <font>
      <b/>
      <sz val="30"/>
      <color indexed="10"/>
      <name val="Arial"/>
      <family val="2"/>
    </font>
    <font>
      <b/>
      <sz val="11"/>
      <color indexed="12"/>
      <name val="Arial"/>
      <family val="2"/>
    </font>
    <font>
      <b/>
      <sz val="11"/>
      <color indexed="12"/>
      <name val="Verdana"/>
      <family val="2"/>
    </font>
    <font>
      <b/>
      <sz val="10"/>
      <color indexed="10"/>
      <name val="Arial"/>
      <family val="2"/>
    </font>
    <font>
      <b/>
      <sz val="10"/>
      <color indexed="12"/>
      <name val="Arial"/>
      <family val="2"/>
    </font>
    <font>
      <b/>
      <sz val="16"/>
      <name val="Arial"/>
      <family val="2"/>
    </font>
    <font>
      <b/>
      <sz val="16"/>
      <color indexed="12"/>
      <name val="Arial"/>
      <family val="2"/>
    </font>
    <font>
      <sz val="10"/>
      <color indexed="12"/>
      <name val="Arial"/>
      <family val="2"/>
    </font>
    <font>
      <b/>
      <sz val="10"/>
      <color indexed="61"/>
      <name val="Arial"/>
      <family val="2"/>
    </font>
    <font>
      <b/>
      <sz val="16"/>
      <color indexed="61"/>
      <name val="Arial"/>
      <family val="2"/>
    </font>
    <font>
      <b/>
      <sz val="12"/>
      <name val="Times New Roman"/>
      <family val="1"/>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8"/>
      <name val="Tahoma"/>
      <family val="2"/>
    </font>
    <font>
      <b/>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b/>
      <sz val="11"/>
      <color rgb="FF0000FF"/>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gray0625">
        <bgColor indexed="51"/>
      </patternFill>
    </fill>
    <fill>
      <patternFill patternType="gray0625">
        <bgColor indexed="42"/>
      </patternFill>
    </fill>
    <fill>
      <patternFill patternType="solid">
        <fgColor theme="0"/>
        <bgColor indexed="64"/>
      </patternFill>
    </fill>
    <fill>
      <patternFill patternType="solid">
        <fgColor rgb="FFFFFF66"/>
        <bgColor indexed="64"/>
      </patternFill>
    </fill>
    <fill>
      <patternFill patternType="solid">
        <fgColor indexed="27"/>
        <bgColor indexed="64"/>
      </patternFill>
    </fill>
    <fill>
      <patternFill patternType="solid">
        <fgColor indexed="44"/>
        <bgColor indexed="64"/>
      </patternFill>
    </fill>
    <fill>
      <patternFill patternType="gray0625">
        <bgColor indexed="24"/>
      </patternFill>
    </fill>
    <fill>
      <patternFill patternType="solid">
        <fgColor indexed="41"/>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style="dashed"/>
      <bottom style="dashed"/>
    </border>
    <border>
      <left>
        <color indexed="63"/>
      </left>
      <right>
        <color indexed="63"/>
      </right>
      <top>
        <color indexed="63"/>
      </top>
      <bottom style="thin"/>
    </border>
    <border>
      <left style="thin"/>
      <right style="thin"/>
      <top style="thin"/>
      <bottom>
        <color indexed="63"/>
      </bottom>
    </border>
    <border>
      <left style="thin"/>
      <right style="dashed"/>
      <top style="thin"/>
      <bottom style="hair"/>
    </border>
    <border>
      <left style="dashed"/>
      <right style="dashed"/>
      <top style="thin"/>
      <bottom style="hair"/>
    </border>
    <border>
      <left style="dashed"/>
      <right style="thin"/>
      <top style="thin"/>
      <bottom style="hair"/>
    </border>
    <border>
      <left style="thin"/>
      <right style="dashed"/>
      <top style="hair"/>
      <bottom style="hair"/>
    </border>
    <border>
      <left style="dashed"/>
      <right style="dashed"/>
      <top style="hair"/>
      <bottom style="hair"/>
    </border>
    <border>
      <left style="dashed"/>
      <right style="thin"/>
      <top style="hair"/>
      <bottom style="hair"/>
    </border>
    <border>
      <left style="thin"/>
      <right style="dashed"/>
      <top style="hair"/>
      <bottom style="thin"/>
    </border>
    <border>
      <left style="dashed"/>
      <right style="dashed"/>
      <top style="hair"/>
      <bottom style="thin"/>
    </border>
    <border>
      <left style="dashed"/>
      <right style="thin"/>
      <top style="hair"/>
      <bottom style="thin"/>
    </border>
    <border>
      <left style="thin"/>
      <right style="dashed"/>
      <top>
        <color indexed="63"/>
      </top>
      <bottom style="hair"/>
    </border>
    <border>
      <left style="dashed"/>
      <right style="dashed"/>
      <top>
        <color indexed="63"/>
      </top>
      <bottom style="hair"/>
    </border>
    <border>
      <left style="dashed"/>
      <right style="thin"/>
      <top>
        <color indexed="63"/>
      </top>
      <bottom style="hair"/>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dashed">
        <color indexed="8"/>
      </left>
      <right style="dashed">
        <color indexed="8"/>
      </right>
      <top style="thin">
        <color indexed="8"/>
      </top>
      <bottom style="hair">
        <color indexed="8"/>
      </bottom>
    </border>
    <border>
      <left style="dashed">
        <color indexed="8"/>
      </left>
      <right style="dashed">
        <color indexed="8"/>
      </right>
      <top style="hair">
        <color indexed="8"/>
      </top>
      <bottom style="hair">
        <color indexed="8"/>
      </bottom>
    </border>
    <border>
      <left style="dashed">
        <color indexed="8"/>
      </left>
      <right style="dashed">
        <color indexed="8"/>
      </right>
      <top style="hair">
        <color indexed="8"/>
      </top>
      <bottom style="thin">
        <color indexed="8"/>
      </bottom>
    </border>
    <border>
      <left style="dashed">
        <color indexed="8"/>
      </left>
      <right style="dashed">
        <color indexed="8"/>
      </right>
      <top style="hair">
        <color indexed="8"/>
      </top>
      <bottom>
        <color indexed="63"/>
      </bottom>
    </border>
    <border>
      <left style="dotted">
        <color indexed="8"/>
      </left>
      <right style="dotted">
        <color indexed="8"/>
      </right>
      <top style="dotted">
        <color indexed="8"/>
      </top>
      <bottom style="dotted">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dashed">
        <color indexed="8"/>
      </left>
      <right style="thin"/>
      <top style="hair">
        <color indexed="8"/>
      </top>
      <bottom style="hair">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dashed">
        <color indexed="8"/>
      </left>
      <right style="thin"/>
      <top style="hair">
        <color indexed="8"/>
      </top>
      <bottom>
        <color indexed="63"/>
      </bottom>
    </border>
    <border>
      <left style="dotted">
        <color indexed="8"/>
      </left>
      <right style="thin"/>
      <top style="dotted">
        <color indexed="8"/>
      </top>
      <bottom style="dotted">
        <color indexed="8"/>
      </bottom>
    </border>
    <border>
      <left style="thin"/>
      <right>
        <color indexed="63"/>
      </right>
      <top>
        <color indexed="63"/>
      </top>
      <bottom style="thin"/>
    </border>
    <border>
      <left/>
      <right style="thin"/>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color indexed="63"/>
      </bottom>
    </border>
    <border>
      <left style="thin"/>
      <right style="medium"/>
      <top style="thin"/>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bottom style="medium"/>
    </border>
    <border>
      <left>
        <color indexed="63"/>
      </left>
      <right style="medium"/>
      <top>
        <color indexed="63"/>
      </top>
      <bottom style="medium"/>
    </border>
    <border>
      <left style="thin"/>
      <right style="thin"/>
      <top style="thin"/>
      <bottom style="medium"/>
    </border>
    <border>
      <left>
        <color indexed="63"/>
      </left>
      <right style="thin"/>
      <top style="thin"/>
      <bottom style="medium"/>
    </border>
    <border>
      <left style="dotted"/>
      <right style="dotted"/>
      <top style="dotted">
        <color indexed="8"/>
      </top>
      <bottom style="dotted"/>
    </border>
    <border>
      <left style="dotted"/>
      <right style="dotted"/>
      <top style="hair">
        <color indexed="8"/>
      </top>
      <bottom style="dotted"/>
    </border>
    <border>
      <left style="dotted"/>
      <right style="dotted"/>
      <top style="dotted"/>
      <bottom style="dotted"/>
    </border>
    <border>
      <left style="thin">
        <color indexed="8"/>
      </left>
      <right style="thin"/>
      <top style="thin"/>
      <bottom style="thin"/>
    </border>
    <border>
      <left style="dashed">
        <color indexed="8"/>
      </left>
      <right style="dashed">
        <color indexed="8"/>
      </right>
      <top style="thin"/>
      <bottom style="hair">
        <color indexed="8"/>
      </bottom>
    </border>
    <border>
      <left style="dashed">
        <color indexed="8"/>
      </left>
      <right style="thin"/>
      <top style="thin"/>
      <bottom style="hair">
        <color indexed="8"/>
      </bottom>
    </border>
    <border>
      <left style="dotted"/>
      <right style="thin"/>
      <top style="dotted">
        <color indexed="8"/>
      </top>
      <bottom style="dotted"/>
    </border>
    <border>
      <left style="dotted"/>
      <right style="thin"/>
      <top style="dotted"/>
      <bottom style="dotted"/>
    </border>
    <border>
      <left style="thin"/>
      <right>
        <color indexed="63"/>
      </right>
      <top style="thin"/>
      <bottom>
        <color indexed="63"/>
      </bottom>
    </border>
    <border>
      <left/>
      <right style="thin"/>
      <top style="thin"/>
      <bottom/>
    </border>
    <border>
      <left>
        <color indexed="63"/>
      </left>
      <right style="thin"/>
      <top>
        <color indexed="63"/>
      </top>
      <bottom>
        <color indexed="63"/>
      </bottom>
    </border>
    <border>
      <left>
        <color indexed="63"/>
      </left>
      <right>
        <color indexed="63"/>
      </right>
      <top style="medium"/>
      <bottom style="medium"/>
    </border>
    <border>
      <left style="thin"/>
      <right style="dashed">
        <color indexed="8"/>
      </right>
      <top style="thin">
        <color indexed="8"/>
      </top>
      <bottom style="hair">
        <color indexed="8"/>
      </bottom>
    </border>
    <border>
      <left style="thin"/>
      <right style="dashed">
        <color indexed="8"/>
      </right>
      <top style="hair">
        <color indexed="8"/>
      </top>
      <bottom style="hair">
        <color indexed="8"/>
      </bottom>
    </border>
    <border>
      <left style="thin"/>
      <right style="dashed">
        <color indexed="8"/>
      </right>
      <top style="hair">
        <color indexed="8"/>
      </top>
      <bottom>
        <color indexed="63"/>
      </bottom>
    </border>
    <border>
      <left style="thin"/>
      <right style="dashed">
        <color indexed="8"/>
      </right>
      <top style="thin"/>
      <bottom style="hair">
        <color indexed="8"/>
      </bottom>
    </border>
    <border>
      <left style="thin"/>
      <right style="dashed">
        <color indexed="8"/>
      </right>
      <top style="hair">
        <color indexed="8"/>
      </top>
      <bottom style="thin">
        <color indexed="8"/>
      </bottom>
    </border>
    <border>
      <left style="thin"/>
      <right style="dotted">
        <color indexed="8"/>
      </right>
      <top style="dotted">
        <color indexed="8"/>
      </top>
      <bottom style="dotted">
        <color indexed="8"/>
      </bottom>
    </border>
    <border>
      <left style="thin"/>
      <right style="dotted"/>
      <top style="dotted">
        <color indexed="8"/>
      </top>
      <bottom style="dotted"/>
    </border>
    <border>
      <left style="thin"/>
      <right style="dotted"/>
      <top style="dotted"/>
      <bottom style="dotted"/>
    </border>
    <border>
      <left style="thin"/>
      <right style="thin"/>
      <top>
        <color indexed="63"/>
      </top>
      <bottom>
        <color indexed="63"/>
      </bottom>
    </border>
    <border>
      <left>
        <color indexed="63"/>
      </left>
      <right style="medium"/>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color indexed="63"/>
      </bottom>
    </border>
    <border>
      <left style="double"/>
      <right style="thin"/>
      <top style="thin"/>
      <bottom style="thin"/>
    </border>
    <border>
      <left style="thin"/>
      <right style="double"/>
      <top style="thin"/>
      <bottom style="thin"/>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color indexed="8"/>
      </right>
      <top style="thin"/>
      <bottom style="thin"/>
    </border>
    <border>
      <left style="thin">
        <color indexed="8"/>
      </left>
      <right style="thin">
        <color indexed="8"/>
      </right>
      <top style="thin"/>
      <bottom style="thin"/>
    </border>
    <border>
      <left style="medium"/>
      <right>
        <color indexed="63"/>
      </right>
      <top style="hair"/>
      <bottom style="hair"/>
    </border>
    <border>
      <left>
        <color indexed="63"/>
      </left>
      <right style="medium"/>
      <top style="hair"/>
      <bottom style="hair"/>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bottom style="thin">
        <color indexed="8"/>
      </bottom>
    </border>
    <border>
      <left style="thin"/>
      <right style="thin">
        <color indexed="8"/>
      </right>
      <top style="thin">
        <color indexed="8"/>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style="thin"/>
    </border>
    <border>
      <left style="medium"/>
      <right style="thin"/>
      <top style="thin"/>
      <bottom style="thin"/>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799">
    <xf numFmtId="0" fontId="0" fillId="0" borderId="0" xfId="0"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1" fontId="0" fillId="0" borderId="0" xfId="0" applyNumberFormat="1" applyFont="1" applyBorder="1" applyAlignment="1">
      <alignment horizontal="right" vertical="center"/>
    </xf>
    <xf numFmtId="0" fontId="0" fillId="0" borderId="0" xfId="0" applyFont="1" applyBorder="1" applyAlignment="1">
      <alignment/>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horizontal="right"/>
    </xf>
    <xf numFmtId="0" fontId="1" fillId="0" borderId="0" xfId="0" applyFont="1" applyBorder="1" applyAlignment="1">
      <alignment wrapText="1"/>
    </xf>
    <xf numFmtId="0" fontId="0" fillId="0" borderId="0" xfId="0" applyFont="1" applyBorder="1" applyAlignment="1">
      <alignment horizont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1" fontId="0" fillId="0" borderId="0" xfId="0" applyNumberFormat="1" applyFont="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Border="1" applyAlignment="1">
      <alignment wrapText="1"/>
    </xf>
    <xf numFmtId="0" fontId="0" fillId="0" borderId="11" xfId="0" applyFont="1" applyBorder="1" applyAlignment="1">
      <alignment horizontal="center"/>
    </xf>
    <xf numFmtId="0" fontId="0" fillId="0" borderId="12"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1" fontId="0" fillId="0" borderId="0" xfId="0" applyNumberFormat="1"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xf>
    <xf numFmtId="0" fontId="5"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Fill="1" applyBorder="1" applyAlignment="1">
      <alignment horizontal="center"/>
    </xf>
    <xf numFmtId="0" fontId="8" fillId="0" borderId="0" xfId="0" applyFont="1" applyBorder="1" applyAlignment="1">
      <alignment textRotation="90"/>
    </xf>
    <xf numFmtId="0" fontId="9" fillId="0" borderId="0" xfId="0" applyFont="1" applyBorder="1" applyAlignment="1">
      <alignment/>
    </xf>
    <xf numFmtId="0" fontId="9" fillId="0" borderId="0" xfId="0" applyFont="1" applyBorder="1" applyAlignment="1">
      <alignment horizontal="center"/>
    </xf>
    <xf numFmtId="0" fontId="2" fillId="0" borderId="0" xfId="0" applyFont="1" applyBorder="1" applyAlignment="1">
      <alignment wrapText="1"/>
    </xf>
    <xf numFmtId="0" fontId="0" fillId="0" borderId="0" xfId="0" applyFont="1" applyBorder="1" applyAlignment="1">
      <alignment/>
    </xf>
    <xf numFmtId="1" fontId="0" fillId="0" borderId="0" xfId="0" applyNumberFormat="1" applyFont="1" applyBorder="1" applyAlignment="1">
      <alignment/>
    </xf>
    <xf numFmtId="1" fontId="10" fillId="0" borderId="0" xfId="0" applyNumberFormat="1" applyFont="1" applyBorder="1" applyAlignment="1">
      <alignment horizontal="center" vertical="center"/>
    </xf>
    <xf numFmtId="0" fontId="0" fillId="0" borderId="0" xfId="0" applyFont="1" applyBorder="1" applyAlignment="1">
      <alignment vertical="top"/>
    </xf>
    <xf numFmtId="0" fontId="0" fillId="0" borderId="0" xfId="0" applyFont="1" applyBorder="1" applyAlignment="1">
      <alignment horizontal="center"/>
    </xf>
    <xf numFmtId="0" fontId="0" fillId="0" borderId="0" xfId="0" applyFont="1" applyBorder="1" applyAlignment="1">
      <alignment horizontal="right" vertical="center"/>
    </xf>
    <xf numFmtId="0" fontId="4" fillId="0" borderId="0" xfId="0" applyFont="1" applyBorder="1" applyAlignment="1">
      <alignment horizontal="center" vertical="top" wrapText="1"/>
    </xf>
    <xf numFmtId="0" fontId="0" fillId="0" borderId="0" xfId="0" applyFont="1" applyBorder="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vertical="center"/>
    </xf>
    <xf numFmtId="1" fontId="0" fillId="0" borderId="10" xfId="0" applyNumberFormat="1" applyFont="1" applyBorder="1" applyAlignment="1">
      <alignment horizontal="center" vertical="center"/>
    </xf>
    <xf numFmtId="0" fontId="0" fillId="0" borderId="10" xfId="0" applyFont="1" applyBorder="1" applyAlignment="1">
      <alignment/>
    </xf>
    <xf numFmtId="0" fontId="0" fillId="0" borderId="13" xfId="0" applyFont="1" applyBorder="1" applyAlignment="1">
      <alignment horizontal="right" vertical="center" wrapText="1"/>
    </xf>
    <xf numFmtId="0" fontId="0" fillId="0" borderId="13" xfId="0" applyFont="1" applyBorder="1" applyAlignment="1">
      <alignment vertical="center"/>
    </xf>
    <xf numFmtId="0" fontId="1" fillId="0" borderId="0" xfId="0" applyFont="1" applyBorder="1" applyAlignment="1">
      <alignment horizontal="center" vertical="center" wrapText="1"/>
    </xf>
    <xf numFmtId="49" fontId="0" fillId="0" borderId="0" xfId="0" applyNumberFormat="1" applyFont="1" applyBorder="1" applyAlignment="1">
      <alignment horizontal="center"/>
    </xf>
    <xf numFmtId="0" fontId="0" fillId="0" borderId="0" xfId="0" applyFont="1" applyBorder="1" applyAlignment="1">
      <alignment horizontal="right" vertical="center"/>
    </xf>
    <xf numFmtId="0" fontId="0" fillId="0" borderId="14" xfId="0" applyFont="1" applyBorder="1" applyAlignment="1">
      <alignment/>
    </xf>
    <xf numFmtId="0" fontId="0" fillId="0" borderId="14" xfId="0" applyFont="1" applyBorder="1" applyAlignment="1">
      <alignment horizontal="center"/>
    </xf>
    <xf numFmtId="0" fontId="0" fillId="0" borderId="14" xfId="0" applyFont="1" applyBorder="1" applyAlignment="1">
      <alignment/>
    </xf>
    <xf numFmtId="0" fontId="3" fillId="0" borderId="14" xfId="0" applyFont="1" applyBorder="1" applyAlignment="1">
      <alignment/>
    </xf>
    <xf numFmtId="0" fontId="0" fillId="0" borderId="14" xfId="0" applyFont="1" applyBorder="1" applyAlignment="1">
      <alignment horizontal="center"/>
    </xf>
    <xf numFmtId="0" fontId="8" fillId="0" borderId="15" xfId="0" applyFont="1" applyBorder="1" applyAlignment="1">
      <alignment textRotation="90"/>
    </xf>
    <xf numFmtId="0" fontId="0" fillId="0" borderId="15" xfId="0" applyFont="1" applyBorder="1" applyAlignment="1">
      <alignment/>
    </xf>
    <xf numFmtId="0" fontId="0" fillId="0" borderId="15" xfId="0" applyFont="1" applyBorder="1" applyAlignment="1">
      <alignment horizontal="right"/>
    </xf>
    <xf numFmtId="0" fontId="0" fillId="0" borderId="15" xfId="0" applyFont="1" applyBorder="1" applyAlignment="1">
      <alignment/>
    </xf>
    <xf numFmtId="0" fontId="0" fillId="0" borderId="15" xfId="0" applyFont="1" applyBorder="1" applyAlignment="1">
      <alignment/>
    </xf>
    <xf numFmtId="0" fontId="0" fillId="0" borderId="15" xfId="0" applyFont="1" applyBorder="1" applyAlignment="1">
      <alignment horizontal="right"/>
    </xf>
    <xf numFmtId="0" fontId="1" fillId="0" borderId="15" xfId="0" applyFont="1" applyBorder="1" applyAlignment="1">
      <alignment/>
    </xf>
    <xf numFmtId="0" fontId="0" fillId="0" borderId="15" xfId="0" applyFont="1" applyBorder="1" applyAlignment="1">
      <alignment horizontal="center"/>
    </xf>
    <xf numFmtId="0" fontId="4" fillId="0" borderId="0" xfId="0" applyFont="1" applyBorder="1" applyAlignment="1">
      <alignment vertical="center" wrapText="1"/>
    </xf>
    <xf numFmtId="0" fontId="10" fillId="0" borderId="0" xfId="0" applyFont="1" applyBorder="1" applyAlignment="1">
      <alignment horizontal="left"/>
    </xf>
    <xf numFmtId="0" fontId="0" fillId="0" borderId="16" xfId="0" applyFont="1" applyBorder="1" applyAlignment="1">
      <alignment/>
    </xf>
    <xf numFmtId="0" fontId="0" fillId="0" borderId="16" xfId="0" applyFont="1" applyBorder="1" applyAlignment="1">
      <alignment/>
    </xf>
    <xf numFmtId="0" fontId="1" fillId="0" borderId="15" xfId="0" applyFont="1" applyBorder="1" applyAlignment="1">
      <alignment/>
    </xf>
    <xf numFmtId="0" fontId="0" fillId="0" borderId="15" xfId="0" applyFont="1"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7" fillId="0" borderId="0" xfId="0" applyFont="1" applyBorder="1" applyAlignment="1">
      <alignment/>
    </xf>
    <xf numFmtId="1" fontId="0" fillId="0" borderId="17" xfId="0" applyNumberFormat="1" applyFont="1" applyBorder="1" applyAlignment="1">
      <alignment horizontal="center"/>
    </xf>
    <xf numFmtId="1" fontId="0" fillId="0" borderId="12" xfId="0" applyNumberFormat="1" applyFont="1" applyBorder="1" applyAlignment="1">
      <alignment horizontal="center"/>
    </xf>
    <xf numFmtId="0" fontId="0" fillId="0" borderId="12" xfId="0" applyFont="1" applyBorder="1" applyAlignment="1">
      <alignment/>
    </xf>
    <xf numFmtId="0" fontId="0" fillId="0" borderId="0" xfId="0" applyFont="1" applyBorder="1" applyAlignment="1">
      <alignment horizontal="right"/>
    </xf>
    <xf numFmtId="2" fontId="17" fillId="0" borderId="0" xfId="0" applyNumberFormat="1" applyFont="1" applyBorder="1" applyAlignment="1">
      <alignment horizontal="center" vertical="center" wrapText="1"/>
    </xf>
    <xf numFmtId="0" fontId="13" fillId="0" borderId="0" xfId="0" applyFont="1" applyBorder="1" applyAlignment="1">
      <alignment vertical="center" wrapText="1"/>
    </xf>
    <xf numFmtId="0" fontId="0" fillId="0" borderId="0" xfId="0" applyFont="1" applyBorder="1" applyAlignment="1">
      <alignment horizontal="left" wrapText="1"/>
    </xf>
    <xf numFmtId="0" fontId="6" fillId="0" borderId="0" xfId="0" applyFont="1" applyBorder="1" applyAlignment="1">
      <alignment/>
    </xf>
    <xf numFmtId="0" fontId="11" fillId="0" borderId="0" xfId="0" applyFont="1" applyBorder="1" applyAlignment="1">
      <alignment/>
    </xf>
    <xf numFmtId="1" fontId="0" fillId="0" borderId="0" xfId="0" applyNumberFormat="1" applyFont="1" applyBorder="1" applyAlignment="1">
      <alignment horizontal="center" vertical="center"/>
    </xf>
    <xf numFmtId="0" fontId="0" fillId="0" borderId="13" xfId="0" applyFont="1" applyBorder="1" applyAlignment="1">
      <alignment horizontal="center" vertical="center"/>
    </xf>
    <xf numFmtId="0" fontId="0" fillId="0" borderId="0" xfId="0"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14" fontId="14" fillId="0" borderId="0" xfId="0" applyNumberFormat="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wrapText="1"/>
    </xf>
    <xf numFmtId="0" fontId="15" fillId="0" borderId="0" xfId="0" applyFont="1" applyFill="1" applyBorder="1" applyAlignment="1">
      <alignment horizontal="right" vertical="center"/>
    </xf>
    <xf numFmtId="0" fontId="22" fillId="0" borderId="0" xfId="0" applyFont="1" applyFill="1" applyBorder="1" applyAlignment="1">
      <alignment horizontal="left" vertical="center"/>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 fillId="0" borderId="23" xfId="0" applyFont="1" applyBorder="1" applyAlignment="1">
      <alignment horizontal="center" vertical="center"/>
    </xf>
    <xf numFmtId="0" fontId="0" fillId="0" borderId="24" xfId="0" applyFont="1" applyBorder="1" applyAlignment="1">
      <alignment/>
    </xf>
    <xf numFmtId="0" fontId="0" fillId="0" borderId="23" xfId="0" applyFont="1" applyBorder="1" applyAlignment="1">
      <alignment/>
    </xf>
    <xf numFmtId="1" fontId="0" fillId="0" borderId="23" xfId="0" applyNumberFormat="1" applyFont="1" applyBorder="1" applyAlignment="1">
      <alignment horizontal="center" vertical="center"/>
    </xf>
    <xf numFmtId="0" fontId="0" fillId="0" borderId="23" xfId="0" applyFont="1" applyBorder="1" applyAlignment="1">
      <alignment horizontal="center"/>
    </xf>
    <xf numFmtId="1" fontId="0" fillId="0" borderId="23" xfId="0" applyNumberFormat="1" applyFont="1" applyBorder="1" applyAlignment="1">
      <alignment horizontal="center"/>
    </xf>
    <xf numFmtId="0" fontId="0" fillId="0" borderId="23" xfId="0" applyFont="1" applyBorder="1" applyAlignment="1">
      <alignment/>
    </xf>
    <xf numFmtId="0" fontId="0" fillId="0" borderId="22" xfId="0" applyFont="1" applyBorder="1" applyAlignment="1">
      <alignment/>
    </xf>
    <xf numFmtId="0" fontId="0" fillId="0" borderId="24" xfId="0" applyFont="1" applyBorder="1" applyAlignment="1">
      <alignment horizontal="center" vertical="center"/>
    </xf>
    <xf numFmtId="0" fontId="0" fillId="0" borderId="25" xfId="0" applyFont="1" applyBorder="1" applyAlignment="1">
      <alignment/>
    </xf>
    <xf numFmtId="0" fontId="0" fillId="0" borderId="26" xfId="0" applyFont="1" applyBorder="1" applyAlignment="1">
      <alignment horizontal="center" vertical="center"/>
    </xf>
    <xf numFmtId="1" fontId="0" fillId="0" borderId="26" xfId="0" applyNumberFormat="1"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1" fontId="0" fillId="0" borderId="29" xfId="0" applyNumberFormat="1" applyFont="1" applyBorder="1" applyAlignment="1">
      <alignment horizontal="center" vertical="center"/>
    </xf>
    <xf numFmtId="0" fontId="0" fillId="0" borderId="29" xfId="0" applyFont="1" applyBorder="1" applyAlignment="1">
      <alignment horizontal="center"/>
    </xf>
    <xf numFmtId="1" fontId="0" fillId="0" borderId="29" xfId="0" applyNumberFormat="1" applyFont="1" applyBorder="1" applyAlignment="1">
      <alignment horizontal="center"/>
    </xf>
    <xf numFmtId="0" fontId="0" fillId="0" borderId="29" xfId="0" applyFont="1" applyBorder="1" applyAlignment="1">
      <alignment/>
    </xf>
    <xf numFmtId="0" fontId="0" fillId="0" borderId="30" xfId="0" applyFont="1" applyBorder="1" applyAlignment="1">
      <alignment/>
    </xf>
    <xf numFmtId="0" fontId="1" fillId="0" borderId="10" xfId="0" applyFont="1" applyBorder="1" applyAlignment="1">
      <alignment horizontal="center" vertical="center"/>
    </xf>
    <xf numFmtId="0" fontId="0" fillId="0" borderId="11" xfId="0" applyFont="1" applyBorder="1" applyAlignment="1">
      <alignment/>
    </xf>
    <xf numFmtId="0" fontId="0" fillId="0" borderId="12" xfId="0" applyFont="1" applyBorder="1" applyAlignment="1">
      <alignment/>
    </xf>
    <xf numFmtId="0" fontId="0" fillId="0" borderId="31" xfId="0" applyFont="1" applyBorder="1" applyAlignment="1">
      <alignment horizontal="center"/>
    </xf>
    <xf numFmtId="0" fontId="0" fillId="0" borderId="31" xfId="0" applyFont="1" applyBorder="1" applyAlignment="1">
      <alignment/>
    </xf>
    <xf numFmtId="0" fontId="0" fillId="0" borderId="32" xfId="0" applyFont="1" applyBorder="1" applyAlignment="1">
      <alignment/>
    </xf>
    <xf numFmtId="0" fontId="0" fillId="0" borderId="31" xfId="0" applyFont="1" applyBorder="1" applyAlignment="1">
      <alignment/>
    </xf>
    <xf numFmtId="0" fontId="9" fillId="0" borderId="0" xfId="0" applyFont="1" applyFill="1" applyBorder="1" applyAlignment="1">
      <alignment horizontal="center"/>
    </xf>
    <xf numFmtId="0" fontId="0" fillId="0" borderId="0" xfId="0" applyFont="1" applyBorder="1" applyAlignment="1">
      <alignment vertical="center"/>
    </xf>
    <xf numFmtId="0" fontId="0" fillId="0" borderId="33" xfId="0" applyFont="1" applyBorder="1" applyAlignment="1">
      <alignment horizontal="center"/>
    </xf>
    <xf numFmtId="0" fontId="0" fillId="0" borderId="12" xfId="0" applyFont="1" applyFill="1" applyBorder="1" applyAlignment="1">
      <alignment horizontal="center"/>
    </xf>
    <xf numFmtId="0" fontId="0" fillId="0" borderId="31" xfId="0" applyFont="1" applyFill="1" applyBorder="1" applyAlignment="1">
      <alignment horizontal="center"/>
    </xf>
    <xf numFmtId="0" fontId="0" fillId="0" borderId="0" xfId="0" applyAlignment="1">
      <alignment horizontal="center"/>
    </xf>
    <xf numFmtId="0" fontId="12" fillId="0" borderId="34" xfId="0" applyFont="1" applyBorder="1" applyAlignment="1">
      <alignment horizontal="center" vertical="center" wrapText="1"/>
    </xf>
    <xf numFmtId="0" fontId="0" fillId="0" borderId="34" xfId="0" applyBorder="1" applyAlignment="1">
      <alignment wrapText="1"/>
    </xf>
    <xf numFmtId="1" fontId="7" fillId="0" borderId="10" xfId="0" applyNumberFormat="1" applyFont="1" applyBorder="1" applyAlignment="1">
      <alignment horizontal="center" vertical="center"/>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6" xfId="0" applyBorder="1" applyAlignment="1">
      <alignment horizontal="right" wrapText="1"/>
    </xf>
    <xf numFmtId="0" fontId="0" fillId="0" borderId="36" xfId="0" applyBorder="1" applyAlignment="1">
      <alignment horizontal="right" vertical="center"/>
    </xf>
    <xf numFmtId="0" fontId="0" fillId="0" borderId="36" xfId="0" applyFont="1" applyBorder="1" applyAlignment="1">
      <alignment horizontal="right" vertical="center"/>
    </xf>
    <xf numFmtId="1" fontId="0" fillId="0" borderId="36" xfId="0" applyNumberFormat="1" applyBorder="1" applyAlignment="1">
      <alignment horizontal="right" vertical="center"/>
    </xf>
    <xf numFmtId="0" fontId="19"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2" fillId="0" borderId="36" xfId="0" applyFont="1" applyBorder="1" applyAlignment="1">
      <alignment wrapText="1"/>
    </xf>
    <xf numFmtId="0" fontId="0" fillId="0" borderId="0" xfId="0" applyFont="1" applyFill="1" applyBorder="1" applyAlignment="1">
      <alignment horizontal="left"/>
    </xf>
    <xf numFmtId="0" fontId="0" fillId="0" borderId="0" xfId="0" applyBorder="1" applyAlignment="1">
      <alignment/>
    </xf>
    <xf numFmtId="0" fontId="10" fillId="0" borderId="10" xfId="0" applyFont="1" applyBorder="1" applyAlignment="1">
      <alignment horizontal="center" vertical="center"/>
    </xf>
    <xf numFmtId="0" fontId="0" fillId="0" borderId="36" xfId="0" applyFont="1" applyBorder="1" applyAlignment="1">
      <alignment wrapText="1"/>
    </xf>
    <xf numFmtId="0" fontId="0" fillId="0" borderId="36" xfId="0" applyFont="1" applyBorder="1" applyAlignment="1">
      <alignment horizontal="right" wrapText="1"/>
    </xf>
    <xf numFmtId="0" fontId="12" fillId="0" borderId="36" xfId="0" applyFont="1" applyBorder="1" applyAlignment="1">
      <alignment horizontal="right" wrapText="1"/>
    </xf>
    <xf numFmtId="0" fontId="0" fillId="0" borderId="10" xfId="0" applyBorder="1" applyAlignment="1">
      <alignment/>
    </xf>
    <xf numFmtId="17" fontId="0" fillId="0" borderId="0" xfId="0" applyNumberFormat="1" applyFont="1" applyBorder="1" applyAlignment="1">
      <alignment vertical="center"/>
    </xf>
    <xf numFmtId="0" fontId="0" fillId="0" borderId="38" xfId="0" applyBorder="1" applyAlignment="1">
      <alignment horizontal="right" wrapText="1"/>
    </xf>
    <xf numFmtId="0" fontId="0" fillId="0" borderId="38" xfId="0" applyBorder="1" applyAlignment="1">
      <alignment horizontal="right" vertical="center"/>
    </xf>
    <xf numFmtId="0" fontId="0" fillId="0" borderId="38" xfId="0" applyFont="1" applyBorder="1" applyAlignment="1">
      <alignment horizontal="right" vertical="center"/>
    </xf>
    <xf numFmtId="1" fontId="0" fillId="0" borderId="38" xfId="0" applyNumberFormat="1" applyBorder="1" applyAlignment="1">
      <alignment horizontal="right" vertical="center"/>
    </xf>
    <xf numFmtId="0" fontId="0" fillId="0" borderId="39" xfId="0" applyBorder="1" applyAlignment="1">
      <alignment horizontal="right" wrapText="1"/>
    </xf>
    <xf numFmtId="0" fontId="0" fillId="0" borderId="39" xfId="0" applyBorder="1" applyAlignment="1">
      <alignment horizontal="right" vertical="center"/>
    </xf>
    <xf numFmtId="0" fontId="0" fillId="0" borderId="39" xfId="0" applyFont="1" applyBorder="1" applyAlignment="1">
      <alignment horizontal="right" vertical="center"/>
    </xf>
    <xf numFmtId="1" fontId="0" fillId="0" borderId="39" xfId="0" applyNumberFormat="1" applyBorder="1" applyAlignment="1">
      <alignment horizontal="right" vertical="center"/>
    </xf>
    <xf numFmtId="0" fontId="0" fillId="0" borderId="39" xfId="0" applyBorder="1" applyAlignment="1">
      <alignment/>
    </xf>
    <xf numFmtId="0" fontId="7" fillId="0" borderId="0" xfId="0" applyFont="1" applyAlignment="1">
      <alignment horizontal="left" vertical="center"/>
    </xf>
    <xf numFmtId="0" fontId="0" fillId="0" borderId="36" xfId="0" applyBorder="1" applyAlignment="1">
      <alignment horizontal="center" vertical="center" wrapText="1"/>
    </xf>
    <xf numFmtId="0" fontId="12" fillId="0" borderId="36" xfId="0" applyFont="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1" fontId="0" fillId="0" borderId="42" xfId="0" applyNumberFormat="1" applyBorder="1" applyAlignment="1">
      <alignment horizontal="right" vertical="center"/>
    </xf>
    <xf numFmtId="1" fontId="12" fillId="0" borderId="43" xfId="0" applyNumberFormat="1" applyFont="1" applyBorder="1" applyAlignment="1">
      <alignment horizontal="center" vertical="center" wrapText="1"/>
    </xf>
    <xf numFmtId="1" fontId="12" fillId="0" borderId="44" xfId="0" applyNumberFormat="1" applyFont="1" applyBorder="1" applyAlignment="1">
      <alignment horizontal="center" vertical="center" wrapText="1"/>
    </xf>
    <xf numFmtId="1" fontId="0" fillId="0" borderId="45" xfId="0" applyNumberFormat="1" applyBorder="1" applyAlignment="1">
      <alignment horizontal="right" vertical="center"/>
    </xf>
    <xf numFmtId="1" fontId="0" fillId="0" borderId="46" xfId="0" applyNumberFormat="1" applyBorder="1" applyAlignment="1">
      <alignment horizontal="right" vertical="center"/>
    </xf>
    <xf numFmtId="0" fontId="1" fillId="0" borderId="33" xfId="0" applyFont="1" applyBorder="1" applyAlignment="1">
      <alignment horizontal="center" vertical="center" wrapText="1"/>
    </xf>
    <xf numFmtId="0" fontId="7" fillId="0" borderId="0" xfId="0" applyFont="1" applyAlignment="1">
      <alignment/>
    </xf>
    <xf numFmtId="0" fontId="0" fillId="0" borderId="47" xfId="0" applyFont="1" applyBorder="1" applyAlignment="1">
      <alignment/>
    </xf>
    <xf numFmtId="0" fontId="0" fillId="0" borderId="17" xfId="0" applyFont="1" applyBorder="1" applyAlignment="1">
      <alignment horizontal="center" vertical="center"/>
    </xf>
    <xf numFmtId="1" fontId="0" fillId="0" borderId="17" xfId="0" applyNumberFormat="1" applyFont="1" applyBorder="1" applyAlignment="1">
      <alignment horizontal="center" vertical="center"/>
    </xf>
    <xf numFmtId="0" fontId="0" fillId="0" borderId="48" xfId="0" applyFont="1" applyBorder="1" applyAlignment="1">
      <alignment horizontal="center" vertical="center"/>
    </xf>
    <xf numFmtId="0" fontId="0" fillId="0" borderId="0" xfId="0" applyAlignment="1">
      <alignment vertical="top"/>
    </xf>
    <xf numFmtId="0" fontId="12" fillId="0" borderId="34" xfId="0" applyFont="1" applyBorder="1" applyAlignment="1">
      <alignment horizontal="center" vertical="top" wrapText="1"/>
    </xf>
    <xf numFmtId="1" fontId="0" fillId="0" borderId="36" xfId="0" applyNumberFormat="1" applyBorder="1" applyAlignment="1">
      <alignment horizontal="center" vertical="top"/>
    </xf>
    <xf numFmtId="1" fontId="0" fillId="0" borderId="38" xfId="0" applyNumberFormat="1" applyBorder="1" applyAlignment="1">
      <alignment horizontal="center" vertical="top"/>
    </xf>
    <xf numFmtId="0" fontId="0" fillId="0" borderId="0" xfId="0" applyAlignment="1">
      <alignment horizontal="center" vertical="top"/>
    </xf>
    <xf numFmtId="1" fontId="8" fillId="0" borderId="0" xfId="0" applyNumberFormat="1" applyFont="1" applyBorder="1" applyAlignment="1">
      <alignment textRotation="90"/>
    </xf>
    <xf numFmtId="1" fontId="12" fillId="0" borderId="13" xfId="0" applyNumberFormat="1" applyFont="1" applyBorder="1" applyAlignment="1">
      <alignment vertical="center"/>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xf>
    <xf numFmtId="0" fontId="1" fillId="0" borderId="0" xfId="0" applyFont="1"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1" fillId="0" borderId="51" xfId="0" applyFont="1" applyBorder="1" applyAlignment="1">
      <alignment horizontal="left" vertical="top" wrapText="1"/>
    </xf>
    <xf numFmtId="0" fontId="0" fillId="0" borderId="32" xfId="0" applyBorder="1" applyAlignment="1">
      <alignment horizontal="center" vertical="top" wrapText="1"/>
    </xf>
    <xf numFmtId="0" fontId="0" fillId="0" borderId="32" xfId="0" applyBorder="1" applyAlignment="1">
      <alignment vertical="top" wrapText="1"/>
    </xf>
    <xf numFmtId="0" fontId="0" fillId="0" borderId="52"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0" fillId="0" borderId="53" xfId="0" applyBorder="1" applyAlignment="1">
      <alignment horizontal="center"/>
    </xf>
    <xf numFmtId="0" fontId="12" fillId="0" borderId="54" xfId="0" applyFont="1" applyBorder="1" applyAlignment="1">
      <alignment horizontal="center" vertical="top" wrapText="1"/>
    </xf>
    <xf numFmtId="0" fontId="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0" xfId="0" applyFont="1" applyBorder="1" applyAlignment="1">
      <alignment vertical="center" wrapText="1"/>
    </xf>
    <xf numFmtId="49" fontId="12"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175" fontId="13" fillId="0" borderId="55" xfId="0" applyNumberFormat="1" applyFont="1" applyBorder="1" applyAlignment="1">
      <alignment vertical="center" wrapText="1"/>
    </xf>
    <xf numFmtId="0" fontId="13" fillId="0" borderId="55" xfId="0" applyFont="1" applyBorder="1" applyAlignment="1">
      <alignment vertical="center" wrapText="1"/>
    </xf>
    <xf numFmtId="1" fontId="13" fillId="0" borderId="55" xfId="0" applyNumberFormat="1" applyFont="1" applyBorder="1" applyAlignment="1">
      <alignment horizontal="center" vertical="center" wrapText="1"/>
    </xf>
    <xf numFmtId="0" fontId="13" fillId="0" borderId="55" xfId="0" applyFont="1" applyBorder="1" applyAlignment="1">
      <alignment horizontal="center" vertical="center" wrapText="1"/>
    </xf>
    <xf numFmtId="1" fontId="13" fillId="0" borderId="56" xfId="0" applyNumberFormat="1" applyFont="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wrapText="1"/>
    </xf>
    <xf numFmtId="0" fontId="12" fillId="0" borderId="50" xfId="0" applyFont="1" applyBorder="1" applyAlignment="1">
      <alignment horizontal="center" vertical="top" wrapText="1"/>
    </xf>
    <xf numFmtId="0" fontId="2" fillId="0" borderId="10" xfId="0" applyFont="1" applyBorder="1" applyAlignment="1">
      <alignment vertical="top" wrapText="1"/>
    </xf>
    <xf numFmtId="175" fontId="12" fillId="0" borderId="10" xfId="0" applyNumberFormat="1" applyFont="1" applyBorder="1" applyAlignment="1">
      <alignment horizontal="center" vertical="center" wrapText="1"/>
    </xf>
    <xf numFmtId="0" fontId="13" fillId="0" borderId="57" xfId="0" applyFont="1" applyBorder="1" applyAlignment="1">
      <alignment vertical="center" wrapText="1"/>
    </xf>
    <xf numFmtId="1" fontId="13" fillId="0" borderId="57" xfId="0" applyNumberFormat="1" applyFont="1" applyBorder="1" applyAlignment="1">
      <alignment horizontal="center" vertical="center" wrapText="1"/>
    </xf>
    <xf numFmtId="14" fontId="12" fillId="0" borderId="10" xfId="0" applyNumberFormat="1" applyFont="1" applyBorder="1" applyAlignment="1">
      <alignment horizontal="center" vertical="center" wrapText="1"/>
    </xf>
    <xf numFmtId="14" fontId="13" fillId="0" borderId="57" xfId="0" applyNumberFormat="1" applyFont="1" applyBorder="1" applyAlignment="1">
      <alignment vertical="top" wrapText="1"/>
    </xf>
    <xf numFmtId="0" fontId="13" fillId="0" borderId="57" xfId="0" applyFont="1" applyBorder="1" applyAlignment="1">
      <alignment vertical="top" wrapText="1"/>
    </xf>
    <xf numFmtId="0" fontId="13" fillId="0" borderId="57" xfId="0" applyFont="1" applyBorder="1" applyAlignment="1">
      <alignment horizontal="center" vertical="top" wrapText="1"/>
    </xf>
    <xf numFmtId="0" fontId="13" fillId="0" borderId="58" xfId="0" applyFont="1" applyBorder="1" applyAlignment="1">
      <alignment horizontal="center" vertical="top" wrapText="1"/>
    </xf>
    <xf numFmtId="0" fontId="2" fillId="0" borderId="59" xfId="0" applyFont="1" applyBorder="1" applyAlignment="1">
      <alignment vertical="top" wrapText="1"/>
    </xf>
    <xf numFmtId="0" fontId="12" fillId="0" borderId="60" xfId="0" applyFont="1" applyBorder="1" applyAlignment="1">
      <alignment horizontal="center" vertical="center" wrapText="1"/>
    </xf>
    <xf numFmtId="0" fontId="12" fillId="0" borderId="59" xfId="0" applyFont="1" applyBorder="1" applyAlignment="1">
      <alignment vertical="center" wrapText="1"/>
    </xf>
    <xf numFmtId="14" fontId="12" fillId="0" borderId="59" xfId="0" applyNumberFormat="1" applyFont="1" applyBorder="1" applyAlignment="1">
      <alignment horizontal="center" vertical="center" wrapText="1"/>
    </xf>
    <xf numFmtId="0" fontId="12" fillId="0" borderId="59" xfId="0" applyFont="1" applyBorder="1" applyAlignment="1">
      <alignment horizontal="center" vertical="center" wrapText="1"/>
    </xf>
    <xf numFmtId="0" fontId="0" fillId="0" borderId="0" xfId="0" applyAlignment="1">
      <alignment horizontal="left"/>
    </xf>
    <xf numFmtId="0" fontId="1" fillId="0" borderId="0" xfId="0" applyFont="1" applyAlignment="1">
      <alignment/>
    </xf>
    <xf numFmtId="0" fontId="0" fillId="0" borderId="61" xfId="0" applyBorder="1" applyAlignment="1">
      <alignment horizontal="right" wrapText="1"/>
    </xf>
    <xf numFmtId="0" fontId="0" fillId="0" borderId="61" xfId="0" applyBorder="1" applyAlignment="1">
      <alignment horizontal="right" vertical="center"/>
    </xf>
    <xf numFmtId="0" fontId="0" fillId="0" borderId="61" xfId="0" applyBorder="1" applyAlignment="1">
      <alignment horizontal="center" vertical="center" wrapText="1"/>
    </xf>
    <xf numFmtId="1" fontId="0" fillId="0" borderId="62" xfId="0" applyNumberFormat="1" applyBorder="1" applyAlignment="1">
      <alignment horizontal="center" vertical="top"/>
    </xf>
    <xf numFmtId="1" fontId="0" fillId="0" borderId="61" xfId="0" applyNumberFormat="1" applyBorder="1" applyAlignment="1">
      <alignment horizontal="right" vertical="center"/>
    </xf>
    <xf numFmtId="0" fontId="0" fillId="0" borderId="61" xfId="0" applyBorder="1" applyAlignment="1">
      <alignment/>
    </xf>
    <xf numFmtId="0" fontId="0" fillId="0" borderId="63" xfId="0" applyFont="1" applyBorder="1" applyAlignment="1">
      <alignment horizontal="right" wrapText="1"/>
    </xf>
    <xf numFmtId="0" fontId="0" fillId="0" borderId="63" xfId="0" applyBorder="1" applyAlignment="1">
      <alignment horizontal="right" wrapText="1"/>
    </xf>
    <xf numFmtId="0" fontId="0" fillId="0" borderId="63" xfId="0" applyBorder="1" applyAlignment="1">
      <alignment horizontal="right" vertical="center"/>
    </xf>
    <xf numFmtId="0" fontId="0" fillId="0" borderId="63" xfId="0" applyBorder="1" applyAlignment="1">
      <alignment horizontal="center" vertical="center" wrapText="1"/>
    </xf>
    <xf numFmtId="1" fontId="0" fillId="0" borderId="63" xfId="0" applyNumberFormat="1" applyBorder="1" applyAlignment="1">
      <alignment horizontal="center" vertical="top"/>
    </xf>
    <xf numFmtId="1" fontId="0" fillId="0" borderId="63" xfId="0" applyNumberFormat="1" applyBorder="1" applyAlignment="1">
      <alignment horizontal="right" vertical="center"/>
    </xf>
    <xf numFmtId="0" fontId="0" fillId="0" borderId="63" xfId="0" applyBorder="1" applyAlignment="1">
      <alignment/>
    </xf>
    <xf numFmtId="0" fontId="12" fillId="0" borderId="63" xfId="0" applyFont="1" applyBorder="1" applyAlignment="1">
      <alignment horizontal="right" wrapText="1"/>
    </xf>
    <xf numFmtId="1" fontId="12" fillId="0" borderId="64" xfId="0" applyNumberFormat="1" applyFont="1" applyBorder="1" applyAlignment="1">
      <alignment horizontal="right" vertical="center"/>
    </xf>
    <xf numFmtId="0" fontId="1" fillId="0" borderId="12" xfId="0" applyFont="1" applyBorder="1" applyAlignment="1">
      <alignment vertical="center" wrapText="1"/>
    </xf>
    <xf numFmtId="1" fontId="12" fillId="0" borderId="12" xfId="0" applyNumberFormat="1" applyFont="1" applyBorder="1" applyAlignment="1">
      <alignment horizontal="right" vertical="center"/>
    </xf>
    <xf numFmtId="0" fontId="1" fillId="0" borderId="31" xfId="0" applyFont="1" applyBorder="1" applyAlignment="1">
      <alignment vertical="center" wrapText="1"/>
    </xf>
    <xf numFmtId="0" fontId="0" fillId="0" borderId="38" xfId="0" applyBorder="1" applyAlignment="1">
      <alignment wrapText="1"/>
    </xf>
    <xf numFmtId="0" fontId="0" fillId="0" borderId="65" xfId="0" applyBorder="1" applyAlignment="1">
      <alignment wrapText="1"/>
    </xf>
    <xf numFmtId="0" fontId="0" fillId="0" borderId="65" xfId="0" applyBorder="1" applyAlignment="1">
      <alignment horizontal="right" wrapText="1"/>
    </xf>
    <xf numFmtId="0" fontId="0" fillId="0" borderId="65" xfId="0" applyBorder="1" applyAlignment="1">
      <alignment horizontal="right" vertical="center"/>
    </xf>
    <xf numFmtId="0" fontId="0" fillId="0" borderId="65" xfId="0" applyBorder="1" applyAlignment="1">
      <alignment horizontal="center" vertical="center" wrapText="1"/>
    </xf>
    <xf numFmtId="0" fontId="0" fillId="0" borderId="65" xfId="0" applyFont="1" applyBorder="1" applyAlignment="1">
      <alignment horizontal="right" vertical="center"/>
    </xf>
    <xf numFmtId="1" fontId="0" fillId="0" borderId="65" xfId="0" applyNumberFormat="1" applyBorder="1" applyAlignment="1">
      <alignment horizontal="center" vertical="top"/>
    </xf>
    <xf numFmtId="1" fontId="0" fillId="0" borderId="65" xfId="0" applyNumberFormat="1" applyBorder="1" applyAlignment="1">
      <alignment horizontal="right" vertical="center"/>
    </xf>
    <xf numFmtId="1" fontId="0" fillId="0" borderId="66" xfId="0" applyNumberFormat="1" applyBorder="1" applyAlignment="1">
      <alignment horizontal="right" vertical="center"/>
    </xf>
    <xf numFmtId="1" fontId="0" fillId="0" borderId="67" xfId="0" applyNumberFormat="1" applyBorder="1" applyAlignment="1">
      <alignment horizontal="right" vertical="center"/>
    </xf>
    <xf numFmtId="1" fontId="0" fillId="0" borderId="68" xfId="0" applyNumberFormat="1" applyBorder="1" applyAlignment="1">
      <alignment horizontal="right" vertical="center"/>
    </xf>
    <xf numFmtId="0" fontId="88" fillId="0" borderId="38" xfId="0" applyFont="1" applyBorder="1" applyAlignment="1">
      <alignment horizontal="right" wrapText="1"/>
    </xf>
    <xf numFmtId="0" fontId="88" fillId="0" borderId="0" xfId="0" applyFont="1" applyBorder="1" applyAlignment="1">
      <alignment horizontal="right" wrapText="1"/>
    </xf>
    <xf numFmtId="0" fontId="88" fillId="0" borderId="0" xfId="0" applyFont="1" applyBorder="1" applyAlignment="1">
      <alignment/>
    </xf>
    <xf numFmtId="0" fontId="88" fillId="0" borderId="38" xfId="0" applyFont="1" applyBorder="1" applyAlignment="1">
      <alignment horizontal="right" vertical="center"/>
    </xf>
    <xf numFmtId="0" fontId="88" fillId="0" borderId="38" xfId="0" applyFont="1" applyBorder="1" applyAlignment="1">
      <alignment horizontal="center" vertical="center" wrapText="1"/>
    </xf>
    <xf numFmtId="1" fontId="88" fillId="0" borderId="36" xfId="0" applyNumberFormat="1" applyFont="1" applyBorder="1" applyAlignment="1">
      <alignment horizontal="center" vertical="top"/>
    </xf>
    <xf numFmtId="1" fontId="88" fillId="0" borderId="38" xfId="0" applyNumberFormat="1" applyFont="1" applyBorder="1" applyAlignment="1">
      <alignment horizontal="right" vertical="center"/>
    </xf>
    <xf numFmtId="1" fontId="88" fillId="0" borderId="45" xfId="0" applyNumberFormat="1" applyFont="1" applyBorder="1" applyAlignment="1">
      <alignment horizontal="right" vertical="center"/>
    </xf>
    <xf numFmtId="0" fontId="88" fillId="0" borderId="0" xfId="0" applyFont="1" applyAlignment="1">
      <alignment/>
    </xf>
    <xf numFmtId="0" fontId="88" fillId="0" borderId="0" xfId="0" applyFont="1" applyBorder="1" applyAlignment="1">
      <alignment horizontal="center" wrapText="1"/>
    </xf>
    <xf numFmtId="0" fontId="30" fillId="0" borderId="0" xfId="57" applyFont="1" applyAlignment="1">
      <alignment horizontal="center"/>
      <protection/>
    </xf>
    <xf numFmtId="0" fontId="1" fillId="0" borderId="0" xfId="57" applyFont="1">
      <alignment/>
      <protection/>
    </xf>
    <xf numFmtId="0" fontId="28" fillId="0" borderId="0" xfId="57" applyFont="1">
      <alignment/>
      <protection/>
    </xf>
    <xf numFmtId="0" fontId="30" fillId="0" borderId="0" xfId="57" applyFont="1" applyAlignment="1">
      <alignment vertical="center"/>
      <protection/>
    </xf>
    <xf numFmtId="0" fontId="30" fillId="0" borderId="0" xfId="57" applyFont="1" applyBorder="1" applyAlignment="1">
      <alignment vertical="center"/>
      <protection/>
    </xf>
    <xf numFmtId="0" fontId="28" fillId="0" borderId="69" xfId="57" applyFont="1" applyBorder="1" applyAlignment="1">
      <alignment horizontal="left" vertical="center"/>
      <protection/>
    </xf>
    <xf numFmtId="0" fontId="28" fillId="0" borderId="13" xfId="57" applyFont="1" applyBorder="1" applyAlignment="1">
      <alignment horizontal="center" vertical="center"/>
      <protection/>
    </xf>
    <xf numFmtId="0" fontId="28" fillId="0" borderId="0" xfId="57" applyFont="1" applyAlignment="1">
      <alignment horizontal="left" vertical="center"/>
      <protection/>
    </xf>
    <xf numFmtId="0" fontId="28" fillId="0" borderId="18" xfId="57" applyFont="1" applyBorder="1" applyAlignment="1">
      <alignment horizontal="center" vertical="center"/>
      <protection/>
    </xf>
    <xf numFmtId="0" fontId="30" fillId="0" borderId="0" xfId="57" applyFont="1" applyBorder="1" applyAlignment="1">
      <alignment horizontal="center" vertical="center"/>
      <protection/>
    </xf>
    <xf numFmtId="0" fontId="30" fillId="0" borderId="0" xfId="57" applyFont="1" applyBorder="1" applyAlignment="1">
      <alignment horizontal="left" vertical="center"/>
      <protection/>
    </xf>
    <xf numFmtId="0" fontId="28" fillId="0" borderId="33" xfId="57" applyFont="1" applyBorder="1" applyAlignment="1">
      <alignment horizontal="center" vertical="top"/>
      <protection/>
    </xf>
    <xf numFmtId="0" fontId="28" fillId="0" borderId="0" xfId="57" applyFont="1" applyBorder="1" applyAlignment="1">
      <alignment horizontal="center" vertical="top"/>
      <protection/>
    </xf>
    <xf numFmtId="0" fontId="30" fillId="0" borderId="54" xfId="57" applyNumberFormat="1" applyFont="1" applyBorder="1" applyAlignment="1">
      <alignment horizontal="left" vertical="center" shrinkToFit="1"/>
      <protection/>
    </xf>
    <xf numFmtId="0" fontId="28" fillId="0" borderId="17" xfId="57" applyFont="1" applyBorder="1" applyAlignment="1">
      <alignment horizontal="center" vertical="center"/>
      <protection/>
    </xf>
    <xf numFmtId="0" fontId="28" fillId="0" borderId="17" xfId="57" applyFont="1" applyBorder="1">
      <alignment/>
      <protection/>
    </xf>
    <xf numFmtId="0" fontId="28" fillId="0" borderId="48" xfId="57" applyFont="1" applyBorder="1">
      <alignment/>
      <protection/>
    </xf>
    <xf numFmtId="0" fontId="28" fillId="0" borderId="0" xfId="57" applyFont="1" applyAlignment="1">
      <alignment horizontal="center" vertical="center"/>
      <protection/>
    </xf>
    <xf numFmtId="0" fontId="28" fillId="0" borderId="0" xfId="57" applyFont="1" applyBorder="1" applyAlignment="1">
      <alignment horizontal="left" vertical="center"/>
      <protection/>
    </xf>
    <xf numFmtId="0" fontId="1" fillId="0" borderId="0" xfId="57" applyFont="1" applyAlignment="1">
      <alignment vertical="center"/>
      <protection/>
    </xf>
    <xf numFmtId="0" fontId="28" fillId="0" borderId="0" xfId="57" applyFont="1" applyAlignment="1">
      <alignment horizontal="left" vertical="top" shrinkToFit="1"/>
      <protection/>
    </xf>
    <xf numFmtId="0" fontId="28" fillId="0" borderId="0" xfId="57" applyFont="1" applyAlignment="1">
      <alignment/>
      <protection/>
    </xf>
    <xf numFmtId="0" fontId="28" fillId="0" borderId="0" xfId="57" applyFont="1" applyAlignment="1">
      <alignment vertical="center"/>
      <protection/>
    </xf>
    <xf numFmtId="0" fontId="28" fillId="0" borderId="0" xfId="57" applyFont="1" applyAlignment="1">
      <alignment vertical="center" wrapText="1"/>
      <protection/>
    </xf>
    <xf numFmtId="0" fontId="28" fillId="0" borderId="0" xfId="57" applyFont="1" applyAlignment="1">
      <alignment horizontal="right"/>
      <protection/>
    </xf>
    <xf numFmtId="0" fontId="28" fillId="0" borderId="0" xfId="57" applyFont="1" applyBorder="1" applyAlignment="1">
      <alignment/>
      <protection/>
    </xf>
    <xf numFmtId="0" fontId="30" fillId="0" borderId="0" xfId="57" applyFont="1" applyBorder="1" applyAlignment="1">
      <alignment/>
      <protection/>
    </xf>
    <xf numFmtId="0" fontId="28" fillId="0" borderId="0" xfId="57" applyFont="1" applyBorder="1" applyAlignment="1">
      <alignment horizontal="left"/>
      <protection/>
    </xf>
    <xf numFmtId="0" fontId="28" fillId="0" borderId="17" xfId="57" applyFont="1" applyBorder="1" applyAlignment="1">
      <alignment/>
      <protection/>
    </xf>
    <xf numFmtId="0" fontId="30" fillId="0" borderId="10" xfId="57" applyFont="1" applyBorder="1" applyAlignment="1">
      <alignment horizontal="center" vertical="center"/>
      <protection/>
    </xf>
    <xf numFmtId="0" fontId="34" fillId="0" borderId="10" xfId="57" applyFont="1" applyBorder="1" applyAlignment="1">
      <alignment horizontal="center" vertical="center"/>
      <protection/>
    </xf>
    <xf numFmtId="0" fontId="28" fillId="0" borderId="0" xfId="57" applyFont="1" applyAlignment="1">
      <alignment vertical="top"/>
      <protection/>
    </xf>
    <xf numFmtId="0" fontId="30" fillId="0" borderId="17" xfId="57" applyFont="1" applyBorder="1">
      <alignment/>
      <protection/>
    </xf>
    <xf numFmtId="0" fontId="30" fillId="0" borderId="17" xfId="57" applyFont="1" applyBorder="1" applyAlignment="1">
      <alignment horizontal="center"/>
      <protection/>
    </xf>
    <xf numFmtId="0" fontId="30" fillId="0" borderId="0" xfId="57" applyFont="1" applyBorder="1" applyAlignment="1">
      <alignment horizontal="center"/>
      <protection/>
    </xf>
    <xf numFmtId="0" fontId="30" fillId="0" borderId="0" xfId="57" applyFont="1" applyBorder="1" applyAlignment="1">
      <alignment horizontal="left"/>
      <protection/>
    </xf>
    <xf numFmtId="0" fontId="28" fillId="0" borderId="12" xfId="57" applyFont="1" applyBorder="1">
      <alignment/>
      <protection/>
    </xf>
    <xf numFmtId="0" fontId="30" fillId="0" borderId="10" xfId="57" applyFont="1" applyBorder="1" applyAlignment="1">
      <alignment horizontal="center" vertical="center" wrapText="1"/>
      <protection/>
    </xf>
    <xf numFmtId="0" fontId="28" fillId="0" borderId="0" xfId="57" applyFont="1" applyBorder="1">
      <alignment/>
      <protection/>
    </xf>
    <xf numFmtId="0" fontId="28" fillId="0" borderId="0" xfId="57" applyFont="1" applyAlignment="1">
      <alignment horizontal="center"/>
      <protection/>
    </xf>
    <xf numFmtId="0" fontId="30" fillId="0" borderId="0" xfId="57" applyFont="1" applyAlignment="1">
      <alignment/>
      <protection/>
    </xf>
    <xf numFmtId="1" fontId="30" fillId="0" borderId="0" xfId="57" applyNumberFormat="1" applyFont="1">
      <alignment/>
      <protection/>
    </xf>
    <xf numFmtId="0" fontId="30" fillId="0" borderId="0" xfId="57" applyFont="1" applyBorder="1">
      <alignment/>
      <protection/>
    </xf>
    <xf numFmtId="0" fontId="30" fillId="0" borderId="0" xfId="57" applyFont="1">
      <alignment/>
      <protection/>
    </xf>
    <xf numFmtId="0" fontId="28" fillId="0" borderId="33" xfId="57" applyFont="1" applyBorder="1" applyAlignment="1">
      <alignment vertical="center"/>
      <protection/>
    </xf>
    <xf numFmtId="0" fontId="28" fillId="0" borderId="69" xfId="57" applyFont="1" applyBorder="1" applyAlignment="1">
      <alignment/>
      <protection/>
    </xf>
    <xf numFmtId="0" fontId="28" fillId="0" borderId="13" xfId="57" applyFont="1" applyBorder="1" applyAlignment="1">
      <alignment/>
      <protection/>
    </xf>
    <xf numFmtId="0" fontId="28" fillId="0" borderId="70" xfId="57" applyFont="1" applyBorder="1" applyAlignment="1">
      <alignment/>
      <protection/>
    </xf>
    <xf numFmtId="0" fontId="28" fillId="0" borderId="47" xfId="57" applyFont="1" applyBorder="1" applyAlignment="1">
      <alignment/>
      <protection/>
    </xf>
    <xf numFmtId="0" fontId="28" fillId="0" borderId="48" xfId="57" applyFont="1" applyBorder="1" applyAlignment="1">
      <alignment/>
      <protection/>
    </xf>
    <xf numFmtId="0" fontId="28" fillId="0" borderId="0" xfId="57" applyFont="1" applyBorder="1" applyAlignment="1">
      <alignment vertical="center"/>
      <protection/>
    </xf>
    <xf numFmtId="0" fontId="28" fillId="0" borderId="71" xfId="57" applyFont="1" applyBorder="1" applyAlignment="1">
      <alignment/>
      <protection/>
    </xf>
    <xf numFmtId="0" fontId="0" fillId="0" borderId="17" xfId="0" applyFont="1" applyBorder="1" applyAlignment="1">
      <alignment vertical="center"/>
    </xf>
    <xf numFmtId="0" fontId="30" fillId="0" borderId="56" xfId="57" applyNumberFormat="1" applyFont="1" applyBorder="1" applyAlignment="1" quotePrefix="1">
      <alignment vertical="center" shrinkToFit="1"/>
      <protection/>
    </xf>
    <xf numFmtId="0" fontId="0" fillId="0" borderId="0" xfId="0" applyFont="1" applyAlignment="1">
      <alignment horizontal="center" vertical="top"/>
    </xf>
    <xf numFmtId="0" fontId="30" fillId="0" borderId="72" xfId="57" applyNumberFormat="1" applyFont="1" applyBorder="1" applyAlignment="1">
      <alignment horizontal="center" vertical="center" shrinkToFit="1"/>
      <protection/>
    </xf>
    <xf numFmtId="0" fontId="28" fillId="0" borderId="70" xfId="57" applyFont="1" applyBorder="1" applyAlignment="1">
      <alignment horizontal="center" vertical="center"/>
      <protection/>
    </xf>
    <xf numFmtId="0" fontId="32" fillId="0" borderId="0" xfId="57" applyFont="1" applyBorder="1" applyAlignment="1">
      <alignment horizontal="center" vertical="center" shrinkToFit="1"/>
      <protection/>
    </xf>
    <xf numFmtId="0" fontId="28" fillId="0" borderId="33" xfId="57" applyFont="1" applyBorder="1">
      <alignment/>
      <protection/>
    </xf>
    <xf numFmtId="0" fontId="0" fillId="0" borderId="0" xfId="0" applyBorder="1" applyAlignment="1">
      <alignment horizontal="center" vertical="top" wrapText="1"/>
    </xf>
    <xf numFmtId="0" fontId="0" fillId="0" borderId="51" xfId="0" applyBorder="1" applyAlignment="1">
      <alignment horizontal="center" vertical="top" wrapText="1"/>
    </xf>
    <xf numFmtId="0" fontId="0" fillId="0" borderId="10" xfId="0" applyBorder="1" applyAlignment="1">
      <alignment horizontal="center" vertical="top"/>
    </xf>
    <xf numFmtId="0" fontId="12" fillId="0" borderId="10" xfId="0" applyFont="1" applyBorder="1" applyAlignment="1">
      <alignment horizontal="center" vertical="top" wrapText="1"/>
    </xf>
    <xf numFmtId="0" fontId="12" fillId="0" borderId="59" xfId="0" applyFont="1" applyBorder="1" applyAlignment="1">
      <alignment horizontal="center" vertical="top" wrapText="1"/>
    </xf>
    <xf numFmtId="0" fontId="0" fillId="0" borderId="0" xfId="0" applyAlignment="1">
      <alignment horizontal="center" vertical="center" wrapText="1"/>
    </xf>
    <xf numFmtId="0" fontId="14" fillId="0" borderId="0" xfId="0" applyFont="1" applyFill="1" applyBorder="1" applyAlignment="1">
      <alignment vertical="top"/>
    </xf>
    <xf numFmtId="0" fontId="14" fillId="0" borderId="0" xfId="0" applyFont="1" applyFill="1" applyBorder="1" applyAlignment="1">
      <alignment horizontal="center" vertical="top"/>
    </xf>
    <xf numFmtId="0" fontId="0" fillId="0" borderId="13" xfId="0" applyFont="1" applyBorder="1" applyAlignment="1">
      <alignment horizontal="left" vertical="center" wrapText="1"/>
    </xf>
    <xf numFmtId="0" fontId="0" fillId="0" borderId="70" xfId="0" applyFont="1" applyBorder="1" applyAlignment="1">
      <alignment horizontal="left" vertical="center" wrapText="1"/>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0" fillId="0" borderId="39"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3" xfId="0" applyFont="1" applyBorder="1" applyAlignment="1">
      <alignment horizontal="center" vertical="center" wrapText="1"/>
    </xf>
    <xf numFmtId="0" fontId="1" fillId="0" borderId="12" xfId="0" applyFont="1" applyBorder="1" applyAlignment="1">
      <alignment horizontal="center" vertical="center" wrapText="1"/>
    </xf>
    <xf numFmtId="14" fontId="0" fillId="0" borderId="73" xfId="0" applyNumberFormat="1" applyBorder="1" applyAlignment="1">
      <alignment horizontal="center" wrapText="1"/>
    </xf>
    <xf numFmtId="14" fontId="0" fillId="0" borderId="74" xfId="0" applyNumberFormat="1" applyBorder="1" applyAlignment="1">
      <alignment horizontal="center" wrapText="1"/>
    </xf>
    <xf numFmtId="14" fontId="0" fillId="0" borderId="75" xfId="0" applyNumberFormat="1" applyBorder="1" applyAlignment="1">
      <alignment horizontal="center" wrapText="1"/>
    </xf>
    <xf numFmtId="14" fontId="0" fillId="0" borderId="76" xfId="0" applyNumberFormat="1" applyBorder="1" applyAlignment="1">
      <alignment horizontal="center" wrapText="1"/>
    </xf>
    <xf numFmtId="14" fontId="0" fillId="0" borderId="77" xfId="0" applyNumberFormat="1" applyBorder="1" applyAlignment="1">
      <alignment horizontal="center" wrapText="1"/>
    </xf>
    <xf numFmtId="14" fontId="0" fillId="0" borderId="40" xfId="0" applyNumberFormat="1" applyBorder="1" applyAlignment="1">
      <alignment horizontal="center" wrapText="1"/>
    </xf>
    <xf numFmtId="14" fontId="88" fillId="0" borderId="75" xfId="0" applyNumberFormat="1" applyFont="1" applyBorder="1" applyAlignment="1">
      <alignment horizontal="center" wrapText="1"/>
    </xf>
    <xf numFmtId="14" fontId="0" fillId="0" borderId="78" xfId="0" applyNumberFormat="1" applyBorder="1" applyAlignment="1">
      <alignment horizontal="center" wrapText="1"/>
    </xf>
    <xf numFmtId="14" fontId="0" fillId="0" borderId="79" xfId="0" applyNumberFormat="1" applyBorder="1" applyAlignment="1">
      <alignment horizontal="center" wrapText="1"/>
    </xf>
    <xf numFmtId="14" fontId="0" fillId="0" borderId="80" xfId="0" applyNumberFormat="1" applyBorder="1" applyAlignment="1">
      <alignment horizontal="center" wrapText="1"/>
    </xf>
    <xf numFmtId="0" fontId="1" fillId="0" borderId="11" xfId="0" applyFont="1" applyBorder="1" applyAlignment="1">
      <alignment horizontal="center" vertical="center" wrapText="1"/>
    </xf>
    <xf numFmtId="0" fontId="0" fillId="0" borderId="0" xfId="0" applyFont="1" applyAlignment="1">
      <alignment horizontal="center"/>
    </xf>
    <xf numFmtId="0" fontId="37" fillId="0" borderId="0" xfId="0" applyFont="1" applyAlignment="1">
      <alignment vertical="center"/>
    </xf>
    <xf numFmtId="14" fontId="0" fillId="0" borderId="0" xfId="0" applyNumberFormat="1" applyAlignment="1">
      <alignment horizontal="center" vertical="center"/>
    </xf>
    <xf numFmtId="0" fontId="5" fillId="0" borderId="0" xfId="0" applyFont="1" applyAlignment="1">
      <alignment vertical="center"/>
    </xf>
    <xf numFmtId="0" fontId="10" fillId="0" borderId="0" xfId="0" applyFont="1" applyFill="1" applyBorder="1" applyAlignment="1">
      <alignment/>
    </xf>
    <xf numFmtId="0" fontId="10" fillId="0" borderId="0" xfId="0" applyFont="1" applyAlignment="1">
      <alignment/>
    </xf>
    <xf numFmtId="0" fontId="12" fillId="33" borderId="10" xfId="0" applyFont="1" applyFill="1" applyBorder="1" applyAlignment="1">
      <alignment horizontal="left"/>
    </xf>
    <xf numFmtId="0" fontId="12" fillId="0" borderId="0" xfId="0" applyFont="1" applyAlignment="1">
      <alignment/>
    </xf>
    <xf numFmtId="0" fontId="39" fillId="0" borderId="11" xfId="0" applyFont="1" applyBorder="1" applyAlignment="1" applyProtection="1">
      <alignment horizontal="left"/>
      <protection locked="0"/>
    </xf>
    <xf numFmtId="0" fontId="39" fillId="0" borderId="12" xfId="0" applyFont="1" applyBorder="1" applyAlignment="1" applyProtection="1">
      <alignment horizontal="left"/>
      <protection locked="0"/>
    </xf>
    <xf numFmtId="0" fontId="39" fillId="0" borderId="31" xfId="0" applyFont="1" applyBorder="1" applyAlignment="1" applyProtection="1">
      <alignment horizontal="left"/>
      <protection locked="0"/>
    </xf>
    <xf numFmtId="0" fontId="39" fillId="0" borderId="10" xfId="0" applyFont="1" applyBorder="1" applyAlignment="1" applyProtection="1">
      <alignment horizontal="left"/>
      <protection locked="0"/>
    </xf>
    <xf numFmtId="0" fontId="39" fillId="0" borderId="10" xfId="0" applyFont="1" applyBorder="1" applyAlignment="1" applyProtection="1">
      <alignment horizontal="left" vertical="center"/>
      <protection locked="0"/>
    </xf>
    <xf numFmtId="0" fontId="12" fillId="33" borderId="10" xfId="0" applyFont="1" applyFill="1" applyBorder="1" applyAlignment="1">
      <alignment horizontal="left" vertical="center" wrapText="1"/>
    </xf>
    <xf numFmtId="0" fontId="39" fillId="0" borderId="10" xfId="0" applyFont="1" applyFill="1" applyBorder="1" applyAlignment="1" applyProtection="1">
      <alignment horizontal="left" vertical="center"/>
      <protection locked="0"/>
    </xf>
    <xf numFmtId="0" fontId="23" fillId="0" borderId="10" xfId="0" applyFont="1" applyFill="1" applyBorder="1" applyAlignment="1">
      <alignment horizontal="left" vertical="center" textRotation="90"/>
    </xf>
    <xf numFmtId="0" fontId="23" fillId="34" borderId="81" xfId="0" applyFont="1" applyFill="1" applyBorder="1" applyAlignment="1">
      <alignment vertical="center" textRotation="90"/>
    </xf>
    <xf numFmtId="0" fontId="39" fillId="0" borderId="31" xfId="0" applyFont="1" applyBorder="1" applyAlignment="1" applyProtection="1">
      <alignment horizontal="center" vertical="center"/>
      <protection locked="0"/>
    </xf>
    <xf numFmtId="175" fontId="0" fillId="0" borderId="0" xfId="0" applyNumberFormat="1" applyFont="1" applyAlignment="1">
      <alignment/>
    </xf>
    <xf numFmtId="0" fontId="0" fillId="0" borderId="0" xfId="0" applyFont="1" applyAlignment="1">
      <alignment/>
    </xf>
    <xf numFmtId="0" fontId="0" fillId="0" borderId="0" xfId="0" applyFill="1" applyAlignment="1">
      <alignment/>
    </xf>
    <xf numFmtId="175" fontId="0" fillId="0" borderId="0" xfId="0" applyNumberFormat="1" applyAlignment="1">
      <alignment/>
    </xf>
    <xf numFmtId="14" fontId="0" fillId="0" borderId="0" xfId="0" applyNumberFormat="1" applyAlignment="1">
      <alignment/>
    </xf>
    <xf numFmtId="175" fontId="0" fillId="0" borderId="0" xfId="0" applyNumberFormat="1" applyFont="1" applyAlignment="1">
      <alignment vertical="center"/>
    </xf>
    <xf numFmtId="175" fontId="0" fillId="0" borderId="0" xfId="0" applyNumberFormat="1" applyFill="1" applyAlignment="1">
      <alignment/>
    </xf>
    <xf numFmtId="0" fontId="0" fillId="0" borderId="0" xfId="0" applyNumberFormat="1" applyAlignment="1">
      <alignment/>
    </xf>
    <xf numFmtId="0" fontId="39" fillId="0" borderId="10" xfId="0" applyFont="1" applyBorder="1" applyAlignment="1" applyProtection="1">
      <alignment horizontal="center" vertical="center"/>
      <protection locked="0"/>
    </xf>
    <xf numFmtId="0" fontId="39" fillId="0" borderId="31" xfId="0" applyFont="1" applyFill="1" applyBorder="1" applyAlignment="1" applyProtection="1">
      <alignment horizontal="center" vertical="center"/>
      <protection locked="0"/>
    </xf>
    <xf numFmtId="0" fontId="42" fillId="0" borderId="10" xfId="0" applyFont="1" applyBorder="1" applyAlignment="1" applyProtection="1">
      <alignment horizontal="center"/>
      <protection locked="0"/>
    </xf>
    <xf numFmtId="0" fontId="39" fillId="0" borderId="10" xfId="0" applyFont="1" applyBorder="1" applyAlignment="1" applyProtection="1">
      <alignment horizontal="center"/>
      <protection locked="0"/>
    </xf>
    <xf numFmtId="0" fontId="39" fillId="0" borderId="10" xfId="0" applyFont="1" applyBorder="1" applyAlignment="1" applyProtection="1">
      <alignment horizontal="center" vertical="top"/>
      <protection locked="0"/>
    </xf>
    <xf numFmtId="0" fontId="39" fillId="0" borderId="18" xfId="0" applyFont="1" applyBorder="1" applyAlignment="1" applyProtection="1">
      <alignment horizontal="center" vertical="center"/>
      <protection locked="0"/>
    </xf>
    <xf numFmtId="0" fontId="39" fillId="0" borderId="18" xfId="0" applyFont="1" applyBorder="1" applyAlignment="1" applyProtection="1">
      <alignment horizontal="center"/>
      <protection locked="0"/>
    </xf>
    <xf numFmtId="0" fontId="39" fillId="0" borderId="31" xfId="0" applyFont="1" applyBorder="1" applyAlignment="1" applyProtection="1">
      <alignment horizontal="center"/>
      <protection locked="0"/>
    </xf>
    <xf numFmtId="175" fontId="39" fillId="0" borderId="10" xfId="0" applyNumberFormat="1" applyFont="1" applyFill="1" applyBorder="1" applyAlignment="1" applyProtection="1">
      <alignment horizontal="center" vertical="center"/>
      <protection locked="0"/>
    </xf>
    <xf numFmtId="175" fontId="39" fillId="0" borderId="10" xfId="0" applyNumberFormat="1" applyFont="1" applyBorder="1" applyAlignment="1" applyProtection="1">
      <alignment horizontal="center" vertical="center"/>
      <protection locked="0"/>
    </xf>
    <xf numFmtId="175" fontId="39" fillId="0" borderId="10" xfId="0" applyNumberFormat="1" applyFont="1" applyBorder="1" applyAlignment="1" applyProtection="1">
      <alignment horizontal="center"/>
      <protection locked="0"/>
    </xf>
    <xf numFmtId="14" fontId="0" fillId="0" borderId="0" xfId="0" applyNumberFormat="1" applyAlignment="1">
      <alignment horizontal="center"/>
    </xf>
    <xf numFmtId="175" fontId="0" fillId="0" borderId="0" xfId="0" applyNumberFormat="1" applyAlignment="1">
      <alignment/>
    </xf>
    <xf numFmtId="15" fontId="0" fillId="0" borderId="0" xfId="0" applyNumberFormat="1" applyFont="1" applyAlignment="1">
      <alignment/>
    </xf>
    <xf numFmtId="14" fontId="0" fillId="0" borderId="0" xfId="0" applyNumberFormat="1" applyFont="1" applyAlignment="1">
      <alignment/>
    </xf>
    <xf numFmtId="0" fontId="43" fillId="0" borderId="0" xfId="0" applyFont="1" applyAlignment="1">
      <alignment/>
    </xf>
    <xf numFmtId="14" fontId="12" fillId="0" borderId="0" xfId="0" applyNumberFormat="1" applyFont="1" applyAlignment="1">
      <alignment/>
    </xf>
    <xf numFmtId="0" fontId="12" fillId="0" borderId="0" xfId="0" applyNumberFormat="1" applyFont="1" applyAlignment="1">
      <alignment/>
    </xf>
    <xf numFmtId="175" fontId="12" fillId="0" borderId="0" xfId="0" applyNumberFormat="1" applyFont="1" applyAlignment="1">
      <alignment/>
    </xf>
    <xf numFmtId="175" fontId="12" fillId="0" borderId="10" xfId="0" applyNumberFormat="1" applyFont="1" applyBorder="1" applyAlignment="1">
      <alignment/>
    </xf>
    <xf numFmtId="181" fontId="12"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12" fillId="0" borderId="0" xfId="0" applyFont="1" applyFill="1" applyBorder="1" applyAlignment="1">
      <alignment wrapText="1"/>
    </xf>
    <xf numFmtId="0" fontId="12" fillId="0" borderId="0" xfId="0" applyFont="1" applyBorder="1" applyAlignment="1">
      <alignment/>
    </xf>
    <xf numFmtId="0" fontId="43" fillId="0" borderId="0" xfId="0" applyFont="1" applyBorder="1" applyAlignment="1">
      <alignment/>
    </xf>
    <xf numFmtId="14" fontId="12" fillId="0" borderId="0" xfId="0" applyNumberFormat="1" applyFont="1" applyBorder="1" applyAlignment="1">
      <alignment/>
    </xf>
    <xf numFmtId="0" fontId="0" fillId="0" borderId="0" xfId="0" applyNumberFormat="1" applyFont="1" applyBorder="1" applyAlignment="1">
      <alignment/>
    </xf>
    <xf numFmtId="0" fontId="12" fillId="0" borderId="0" xfId="0" applyNumberFormat="1" applyFont="1" applyBorder="1" applyAlignment="1">
      <alignment/>
    </xf>
    <xf numFmtId="14" fontId="0" fillId="0" borderId="0" xfId="0" applyNumberFormat="1" applyFont="1" applyBorder="1" applyAlignment="1">
      <alignment/>
    </xf>
    <xf numFmtId="0" fontId="24" fillId="0" borderId="0" xfId="0" applyFont="1" applyBorder="1" applyAlignment="1">
      <alignment/>
    </xf>
    <xf numFmtId="0" fontId="17" fillId="0" borderId="0" xfId="0" applyFont="1" applyBorder="1" applyAlignment="1">
      <alignment/>
    </xf>
    <xf numFmtId="0" fontId="42" fillId="0" borderId="0" xfId="0" applyFont="1" applyAlignment="1">
      <alignment/>
    </xf>
    <xf numFmtId="0" fontId="44" fillId="0" borderId="0" xfId="0" applyFont="1" applyAlignment="1">
      <alignment/>
    </xf>
    <xf numFmtId="0" fontId="42" fillId="0" borderId="0" xfId="0" applyFont="1" applyBorder="1" applyAlignment="1">
      <alignment/>
    </xf>
    <xf numFmtId="175" fontId="42" fillId="0" borderId="0" xfId="0" applyNumberFormat="1" applyFont="1" applyAlignment="1">
      <alignment/>
    </xf>
    <xf numFmtId="14" fontId="42" fillId="0" borderId="0" xfId="0" applyNumberFormat="1" applyFont="1" applyAlignment="1">
      <alignment/>
    </xf>
    <xf numFmtId="14" fontId="42" fillId="0" borderId="0"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181" fontId="42" fillId="0" borderId="10" xfId="0" applyNumberFormat="1" applyFont="1" applyBorder="1" applyAlignment="1">
      <alignment/>
    </xf>
    <xf numFmtId="181" fontId="42" fillId="0" borderId="0" xfId="0" applyNumberFormat="1" applyFont="1" applyAlignment="1">
      <alignment/>
    </xf>
    <xf numFmtId="14" fontId="42" fillId="0" borderId="10" xfId="0" applyNumberFormat="1" applyFont="1" applyBorder="1" applyAlignment="1">
      <alignment/>
    </xf>
    <xf numFmtId="0" fontId="45" fillId="0" borderId="0" xfId="0" applyFont="1" applyAlignment="1">
      <alignment/>
    </xf>
    <xf numFmtId="0" fontId="42" fillId="0" borderId="10" xfId="0" applyFont="1" applyBorder="1" applyAlignment="1">
      <alignment/>
    </xf>
    <xf numFmtId="0" fontId="42" fillId="0" borderId="10" xfId="0" applyNumberFormat="1" applyFont="1" applyBorder="1" applyAlignment="1">
      <alignment/>
    </xf>
    <xf numFmtId="0" fontId="42" fillId="0" borderId="0" xfId="0" applyFont="1" applyBorder="1" applyAlignment="1">
      <alignment wrapText="1"/>
    </xf>
    <xf numFmtId="0" fontId="42" fillId="0" borderId="0" xfId="0" applyFont="1" applyAlignment="1">
      <alignment wrapText="1"/>
    </xf>
    <xf numFmtId="0" fontId="42" fillId="0" borderId="0" xfId="0" applyFont="1" applyFill="1" applyBorder="1" applyAlignment="1">
      <alignment wrapText="1"/>
    </xf>
    <xf numFmtId="0" fontId="44" fillId="0" borderId="0" xfId="0" applyFont="1" applyBorder="1" applyAlignment="1">
      <alignment/>
    </xf>
    <xf numFmtId="181" fontId="0" fillId="0" borderId="0" xfId="0" applyNumberFormat="1" applyFont="1" applyBorder="1" applyAlignment="1">
      <alignment/>
    </xf>
    <xf numFmtId="0" fontId="46" fillId="0" borderId="0" xfId="0" applyFont="1" applyAlignment="1">
      <alignment/>
    </xf>
    <xf numFmtId="0" fontId="47" fillId="0" borderId="0" xfId="0" applyFont="1" applyAlignment="1">
      <alignment/>
    </xf>
    <xf numFmtId="175" fontId="46" fillId="0" borderId="0" xfId="0" applyNumberFormat="1" applyFont="1" applyAlignment="1">
      <alignment/>
    </xf>
    <xf numFmtId="14" fontId="46" fillId="0" borderId="0" xfId="0" applyNumberFormat="1" applyFont="1" applyAlignment="1">
      <alignment/>
    </xf>
    <xf numFmtId="0" fontId="46" fillId="0" borderId="0" xfId="0" applyNumberFormat="1" applyFont="1" applyAlignment="1">
      <alignment/>
    </xf>
    <xf numFmtId="181" fontId="46" fillId="0" borderId="0" xfId="0" applyNumberFormat="1" applyFont="1" applyAlignment="1">
      <alignment/>
    </xf>
    <xf numFmtId="181" fontId="46" fillId="0" borderId="10" xfId="0" applyNumberFormat="1" applyFont="1" applyBorder="1" applyAlignment="1">
      <alignment/>
    </xf>
    <xf numFmtId="0" fontId="46" fillId="0" borderId="10" xfId="0" applyFont="1" applyBorder="1" applyAlignment="1">
      <alignment/>
    </xf>
    <xf numFmtId="14" fontId="46" fillId="0" borderId="10" xfId="0" applyNumberFormat="1" applyFont="1" applyBorder="1" applyAlignment="1">
      <alignment/>
    </xf>
    <xf numFmtId="0" fontId="46" fillId="0" borderId="10" xfId="0" applyNumberFormat="1" applyFont="1" applyBorder="1" applyAlignment="1">
      <alignment/>
    </xf>
    <xf numFmtId="0" fontId="46" fillId="0" borderId="0" xfId="0" applyFont="1" applyBorder="1" applyAlignment="1">
      <alignment wrapText="1"/>
    </xf>
    <xf numFmtId="0" fontId="46" fillId="0" borderId="0" xfId="0" applyFont="1" applyAlignment="1">
      <alignment wrapText="1"/>
    </xf>
    <xf numFmtId="0" fontId="46" fillId="0" borderId="0" xfId="0" applyFont="1" applyFill="1" applyBorder="1" applyAlignment="1">
      <alignment wrapText="1"/>
    </xf>
    <xf numFmtId="0" fontId="46" fillId="0" borderId="0" xfId="0" applyFont="1" applyBorder="1" applyAlignment="1">
      <alignment/>
    </xf>
    <xf numFmtId="0" fontId="47" fillId="0" borderId="0" xfId="0" applyFont="1" applyBorder="1" applyAlignment="1">
      <alignment/>
    </xf>
    <xf numFmtId="14" fontId="46" fillId="0" borderId="0" xfId="0" applyNumberFormat="1" applyFont="1" applyBorder="1" applyAlignment="1">
      <alignment/>
    </xf>
    <xf numFmtId="175" fontId="0" fillId="0" borderId="0" xfId="0" applyNumberFormat="1" applyFont="1" applyBorder="1" applyAlignment="1">
      <alignment/>
    </xf>
    <xf numFmtId="175" fontId="17" fillId="0" borderId="10" xfId="0" applyNumberFormat="1" applyFont="1" applyFill="1" applyBorder="1" applyAlignment="1">
      <alignment/>
    </xf>
    <xf numFmtId="0" fontId="17" fillId="0" borderId="10" xfId="0" applyNumberFormat="1" applyFont="1" applyFill="1" applyBorder="1" applyAlignment="1">
      <alignment/>
    </xf>
    <xf numFmtId="175" fontId="12" fillId="0" borderId="0" xfId="0" applyNumberFormat="1" applyFont="1" applyBorder="1" applyAlignment="1">
      <alignment/>
    </xf>
    <xf numFmtId="0" fontId="12" fillId="0" borderId="10" xfId="0" applyNumberFormat="1" applyFont="1" applyBorder="1" applyAlignment="1">
      <alignment/>
    </xf>
    <xf numFmtId="0" fontId="46" fillId="0" borderId="0" xfId="0" applyNumberFormat="1" applyFont="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NumberFormat="1" applyFont="1" applyAlignment="1">
      <alignment/>
    </xf>
    <xf numFmtId="0" fontId="0" fillId="0" borderId="0" xfId="0" applyFont="1" applyBorder="1" applyAlignment="1">
      <alignment horizontal="center" vertical="center" wrapText="1"/>
    </xf>
    <xf numFmtId="0" fontId="27" fillId="0" borderId="0" xfId="57" applyFont="1" applyAlignment="1">
      <alignment horizontal="left" vertical="center" wrapText="1" shrinkToFit="1"/>
      <protection/>
    </xf>
    <xf numFmtId="0" fontId="28" fillId="0" borderId="0" xfId="57" applyFont="1" applyAlignment="1">
      <alignment horizontal="center" vertical="top"/>
      <protection/>
    </xf>
    <xf numFmtId="0" fontId="28" fillId="0" borderId="0" xfId="57" applyFont="1" applyAlignment="1">
      <alignment horizontal="center" shrinkToFit="1"/>
      <protection/>
    </xf>
    <xf numFmtId="0" fontId="12" fillId="0" borderId="0" xfId="0" applyFont="1" applyAlignment="1">
      <alignment horizontal="left"/>
    </xf>
    <xf numFmtId="0" fontId="23" fillId="35" borderId="0" xfId="0" applyFont="1" applyFill="1" applyBorder="1" applyAlignment="1">
      <alignment horizontal="center" vertical="center" textRotation="90"/>
    </xf>
    <xf numFmtId="0" fontId="39" fillId="0" borderId="12" xfId="0" applyFont="1" applyBorder="1" applyAlignment="1" applyProtection="1">
      <alignment/>
      <protection locked="0"/>
    </xf>
    <xf numFmtId="49" fontId="14" fillId="0" borderId="0" xfId="0" applyNumberFormat="1" applyFont="1" applyFill="1" applyBorder="1" applyAlignment="1">
      <alignment vertical="center"/>
    </xf>
    <xf numFmtId="49" fontId="0" fillId="0" borderId="0" xfId="0" applyNumberFormat="1" applyFill="1" applyBorder="1" applyAlignment="1">
      <alignment horizontal="center"/>
    </xf>
    <xf numFmtId="0" fontId="0" fillId="0" borderId="0" xfId="0" applyFill="1" applyBorder="1" applyAlignment="1">
      <alignment horizontal="right"/>
    </xf>
    <xf numFmtId="0" fontId="22" fillId="0" borderId="0" xfId="0" applyFont="1" applyFill="1" applyBorder="1" applyAlignment="1">
      <alignment horizontal="center"/>
    </xf>
    <xf numFmtId="0" fontId="19" fillId="0" borderId="0" xfId="0" applyFont="1" applyFill="1" applyBorder="1" applyAlignment="1">
      <alignment horizontal="left" vertical="center"/>
    </xf>
    <xf numFmtId="14" fontId="14" fillId="0" borderId="0" xfId="0" applyNumberFormat="1" applyFont="1" applyFill="1" applyBorder="1" applyAlignment="1">
      <alignment horizontal="left" vertical="center"/>
    </xf>
    <xf numFmtId="0" fontId="37" fillId="0" borderId="0" xfId="0" applyFont="1" applyAlignment="1">
      <alignment horizontal="left" vertical="center"/>
    </xf>
    <xf numFmtId="14" fontId="37" fillId="0" borderId="0" xfId="0" applyNumberFormat="1" applyFont="1" applyAlignment="1">
      <alignment horizontal="left" vertical="center"/>
    </xf>
    <xf numFmtId="0" fontId="0" fillId="0" borderId="0" xfId="0" applyFill="1" applyBorder="1" applyAlignment="1">
      <alignment horizontal="left"/>
    </xf>
    <xf numFmtId="0" fontId="19" fillId="0" borderId="0" xfId="0" applyFont="1" applyFill="1" applyBorder="1" applyAlignment="1">
      <alignment horizontal="left"/>
    </xf>
    <xf numFmtId="0" fontId="14" fillId="0" borderId="0" xfId="0" applyFont="1" applyFill="1" applyBorder="1" applyAlignment="1">
      <alignment horizontal="left"/>
    </xf>
    <xf numFmtId="0" fontId="37" fillId="0" borderId="0" xfId="0" applyFont="1" applyAlignment="1">
      <alignment horizontal="left"/>
    </xf>
    <xf numFmtId="0" fontId="14" fillId="0" borderId="0" xfId="0" applyFont="1" applyFill="1" applyBorder="1" applyAlignment="1">
      <alignment horizontal="left" wrapText="1"/>
    </xf>
    <xf numFmtId="0" fontId="0" fillId="0" borderId="10" xfId="0" applyNumberFormat="1" applyBorder="1" applyAlignment="1">
      <alignment/>
    </xf>
    <xf numFmtId="0" fontId="10" fillId="0" borderId="15" xfId="0" applyFont="1" applyBorder="1" applyAlignment="1">
      <alignment/>
    </xf>
    <xf numFmtId="0" fontId="30" fillId="0" borderId="54" xfId="57" applyFont="1" applyBorder="1" applyAlignment="1">
      <alignment vertical="center"/>
      <protection/>
    </xf>
    <xf numFmtId="0" fontId="30" fillId="0" borderId="11" xfId="57" applyFont="1" applyBorder="1" applyAlignment="1">
      <alignment vertical="center"/>
      <protection/>
    </xf>
    <xf numFmtId="0" fontId="30" fillId="0" borderId="12" xfId="57" applyFont="1" applyBorder="1" applyAlignment="1">
      <alignment vertical="center"/>
      <protection/>
    </xf>
    <xf numFmtId="0" fontId="30" fillId="0" borderId="82" xfId="57" applyFont="1" applyBorder="1" applyAlignment="1">
      <alignment vertical="center"/>
      <protection/>
    </xf>
    <xf numFmtId="0" fontId="30" fillId="0" borderId="31" xfId="57" applyFont="1" applyBorder="1" applyAlignment="1">
      <alignment vertical="center"/>
      <protection/>
    </xf>
    <xf numFmtId="0" fontId="30" fillId="0" borderId="54" xfId="57" applyNumberFormat="1" applyFont="1" applyBorder="1" applyAlignment="1">
      <alignment vertical="center" shrinkToFit="1"/>
      <protection/>
    </xf>
    <xf numFmtId="0" fontId="30" fillId="0" borderId="33" xfId="57" applyFont="1" applyBorder="1" applyAlignment="1">
      <alignment horizontal="center" vertical="center"/>
      <protection/>
    </xf>
    <xf numFmtId="0" fontId="30" fillId="0" borderId="55" xfId="57" applyNumberFormat="1" applyFont="1" applyBorder="1" applyAlignment="1">
      <alignment vertical="center" shrinkToFit="1"/>
      <protection/>
    </xf>
    <xf numFmtId="0" fontId="30" fillId="0" borderId="17" xfId="57" applyNumberFormat="1" applyFont="1" applyBorder="1" applyAlignment="1">
      <alignment vertical="center" shrinkToFit="1"/>
      <protection/>
    </xf>
    <xf numFmtId="0" fontId="30" fillId="0" borderId="0" xfId="57" applyNumberFormat="1" applyFont="1" applyBorder="1" applyAlignment="1">
      <alignment vertical="center"/>
      <protection/>
    </xf>
    <xf numFmtId="0" fontId="30" fillId="0" borderId="55" xfId="57" applyNumberFormat="1" applyFont="1" applyBorder="1" applyAlignment="1">
      <alignment vertical="center"/>
      <protection/>
    </xf>
    <xf numFmtId="0" fontId="28" fillId="0" borderId="0" xfId="57" applyFont="1" applyAlignment="1">
      <alignment horizontal="left"/>
      <protection/>
    </xf>
    <xf numFmtId="0" fontId="30" fillId="0" borderId="10" xfId="57" applyFont="1" applyBorder="1" applyAlignment="1">
      <alignment vertical="center"/>
      <protection/>
    </xf>
    <xf numFmtId="0" fontId="0" fillId="0" borderId="0" xfId="0"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178" fontId="17" fillId="0" borderId="86" xfId="0" applyNumberFormat="1" applyFont="1" applyBorder="1" applyAlignment="1">
      <alignment vertical="center"/>
    </xf>
    <xf numFmtId="178" fontId="17" fillId="0" borderId="17" xfId="0" applyNumberFormat="1" applyFont="1" applyBorder="1" applyAlignment="1">
      <alignment vertical="center"/>
    </xf>
    <xf numFmtId="0" fontId="0" fillId="0" borderId="0"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2" fillId="0" borderId="11" xfId="0" applyFont="1" applyBorder="1" applyAlignment="1">
      <alignment vertical="center" wrapText="1"/>
    </xf>
    <xf numFmtId="49" fontId="17" fillId="0" borderId="10" xfId="0" applyNumberFormat="1" applyFont="1" applyBorder="1" applyAlignment="1">
      <alignment vertical="center"/>
    </xf>
    <xf numFmtId="0" fontId="24" fillId="0" borderId="10" xfId="0" applyFont="1" applyBorder="1" applyAlignment="1">
      <alignment horizontal="center" vertical="center"/>
    </xf>
    <xf numFmtId="0" fontId="24" fillId="0" borderId="10" xfId="0" applyFont="1" applyBorder="1" applyAlignment="1">
      <alignment vertical="center"/>
    </xf>
    <xf numFmtId="0" fontId="10" fillId="0" borderId="10" xfId="0" applyFont="1" applyBorder="1" applyAlignment="1">
      <alignment vertical="center"/>
    </xf>
    <xf numFmtId="0" fontId="24" fillId="0" borderId="89" xfId="0" applyFont="1" applyBorder="1" applyAlignment="1">
      <alignment vertical="center"/>
    </xf>
    <xf numFmtId="0"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24" fillId="0" borderId="10" xfId="0" applyFont="1" applyBorder="1" applyAlignment="1">
      <alignment horizontal="right" vertical="center"/>
    </xf>
    <xf numFmtId="0" fontId="24" fillId="0" borderId="89" xfId="0" applyFont="1" applyBorder="1" applyAlignment="1">
      <alignment horizontal="right" vertical="center"/>
    </xf>
    <xf numFmtId="0" fontId="0" fillId="0" borderId="90" xfId="0" applyBorder="1" applyAlignment="1">
      <alignment vertical="center"/>
    </xf>
    <xf numFmtId="0" fontId="0" fillId="0" borderId="0" xfId="0" applyBorder="1" applyAlignment="1">
      <alignment vertical="center"/>
    </xf>
    <xf numFmtId="0" fontId="0" fillId="0" borderId="87" xfId="0" applyBorder="1" applyAlignment="1">
      <alignment vertical="center"/>
    </xf>
    <xf numFmtId="0" fontId="10" fillId="0" borderId="0" xfId="0" applyFont="1" applyBorder="1" applyAlignment="1">
      <alignment horizontal="center" vertical="center"/>
    </xf>
    <xf numFmtId="0" fontId="10" fillId="0" borderId="87" xfId="0" applyFont="1" applyBorder="1" applyAlignment="1">
      <alignment horizontal="center" vertical="center"/>
    </xf>
    <xf numFmtId="0" fontId="0" fillId="0" borderId="91" xfId="0" applyBorder="1" applyAlignment="1">
      <alignment vertical="center"/>
    </xf>
    <xf numFmtId="0" fontId="0" fillId="0" borderId="92" xfId="0" applyBorder="1" applyAlignment="1">
      <alignment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0" xfId="0" applyFont="1" applyAlignment="1">
      <alignment horizontal="center" vertical="center"/>
    </xf>
    <xf numFmtId="0" fontId="12" fillId="0" borderId="11" xfId="0" applyFont="1" applyBorder="1" applyAlignment="1">
      <alignment vertical="center"/>
    </xf>
    <xf numFmtId="0" fontId="0" fillId="0" borderId="93" xfId="0" applyBorder="1" applyAlignment="1">
      <alignment vertical="center"/>
    </xf>
    <xf numFmtId="0" fontId="12" fillId="36" borderId="71" xfId="0" applyFont="1" applyFill="1" applyBorder="1" applyAlignment="1">
      <alignment/>
    </xf>
    <xf numFmtId="49" fontId="12" fillId="0" borderId="11" xfId="0" applyNumberFormat="1" applyFont="1" applyBorder="1" applyAlignment="1">
      <alignment vertical="center"/>
    </xf>
    <xf numFmtId="0" fontId="12" fillId="0" borderId="34" xfId="0" applyFont="1" applyBorder="1" applyAlignment="1">
      <alignment horizontal="center" vertical="center" wrapText="1"/>
    </xf>
    <xf numFmtId="1" fontId="12" fillId="0" borderId="0" xfId="0" applyNumberFormat="1" applyFont="1" applyBorder="1" applyAlignment="1">
      <alignment horizontal="center"/>
    </xf>
    <xf numFmtId="1" fontId="24" fillId="0" borderId="10" xfId="0" applyNumberFormat="1" applyFont="1" applyBorder="1" applyAlignment="1">
      <alignment vertical="center"/>
    </xf>
    <xf numFmtId="14" fontId="0" fillId="0" borderId="0" xfId="0" applyNumberFormat="1" applyBorder="1" applyAlignment="1">
      <alignment horizontal="center" wrapText="1"/>
    </xf>
    <xf numFmtId="0" fontId="0" fillId="0" borderId="34" xfId="0" applyBorder="1" applyAlignment="1">
      <alignment horizontal="center" wrapText="1"/>
    </xf>
    <xf numFmtId="0" fontId="0" fillId="0" borderId="36" xfId="0" applyBorder="1" applyAlignment="1">
      <alignment horizontal="right"/>
    </xf>
    <xf numFmtId="0" fontId="0" fillId="0" borderId="36" xfId="0" applyBorder="1" applyAlignment="1">
      <alignment horizontal="center" wrapText="1"/>
    </xf>
    <xf numFmtId="0" fontId="0" fillId="0" borderId="36" xfId="0" applyFont="1" applyBorder="1" applyAlignment="1">
      <alignment horizontal="right"/>
    </xf>
    <xf numFmtId="1" fontId="0" fillId="0" borderId="36" xfId="0" applyNumberFormat="1" applyBorder="1" applyAlignment="1">
      <alignment horizontal="center"/>
    </xf>
    <xf numFmtId="1" fontId="0" fillId="0" borderId="36" xfId="0" applyNumberFormat="1" applyBorder="1" applyAlignment="1">
      <alignment horizontal="right"/>
    </xf>
    <xf numFmtId="1" fontId="0" fillId="0" borderId="42" xfId="0" applyNumberFormat="1" applyBorder="1" applyAlignment="1">
      <alignment horizontal="right"/>
    </xf>
    <xf numFmtId="0" fontId="0" fillId="0" borderId="0" xfId="0" applyAlignment="1">
      <alignment/>
    </xf>
    <xf numFmtId="0" fontId="0" fillId="0" borderId="0" xfId="0" applyFont="1" applyAlignment="1">
      <alignment/>
    </xf>
    <xf numFmtId="181" fontId="0" fillId="0" borderId="0" xfId="0" applyNumberFormat="1" applyAlignment="1">
      <alignment/>
    </xf>
    <xf numFmtId="14" fontId="0" fillId="0" borderId="0" xfId="0" applyNumberFormat="1" applyFont="1" applyAlignment="1">
      <alignment/>
    </xf>
    <xf numFmtId="185" fontId="0" fillId="0" borderId="0" xfId="0" applyNumberFormat="1" applyAlignment="1">
      <alignment/>
    </xf>
    <xf numFmtId="186" fontId="0" fillId="0" borderId="0" xfId="0" applyNumberFormat="1" applyAlignment="1">
      <alignment/>
    </xf>
    <xf numFmtId="186" fontId="14" fillId="0" borderId="0" xfId="0" applyNumberFormat="1" applyFont="1" applyFill="1" applyBorder="1" applyAlignment="1">
      <alignment horizontal="left" vertical="center"/>
    </xf>
    <xf numFmtId="186" fontId="37" fillId="0" borderId="0" xfId="0" applyNumberFormat="1" applyFont="1" applyAlignment="1">
      <alignment horizontal="left" vertical="center"/>
    </xf>
    <xf numFmtId="0" fontId="39" fillId="0" borderId="11" xfId="0" applyFont="1" applyBorder="1" applyAlignment="1" applyProtection="1">
      <alignment/>
      <protection locked="0"/>
    </xf>
    <xf numFmtId="0" fontId="39" fillId="0" borderId="31" xfId="0" applyFont="1" applyBorder="1" applyAlignment="1" applyProtection="1">
      <alignment/>
      <protection locked="0"/>
    </xf>
    <xf numFmtId="186" fontId="0" fillId="0" borderId="0" xfId="0" applyNumberFormat="1" applyFont="1" applyAlignment="1">
      <alignment/>
    </xf>
    <xf numFmtId="187" fontId="0" fillId="0" borderId="0" xfId="0" applyNumberFormat="1" applyFont="1" applyAlignment="1">
      <alignment/>
    </xf>
    <xf numFmtId="186" fontId="0" fillId="0" borderId="0" xfId="0" applyNumberFormat="1" applyFont="1" applyAlignment="1">
      <alignment/>
    </xf>
    <xf numFmtId="186" fontId="0" fillId="0" borderId="77" xfId="0" applyNumberFormat="1" applyBorder="1" applyAlignment="1">
      <alignment horizontal="center" wrapText="1"/>
    </xf>
    <xf numFmtId="186" fontId="0" fillId="0" borderId="37" xfId="0" applyNumberFormat="1" applyBorder="1" applyAlignment="1">
      <alignment horizontal="center" vertical="center" wrapText="1"/>
    </xf>
    <xf numFmtId="14" fontId="89" fillId="0" borderId="78" xfId="0" applyNumberFormat="1" applyFont="1" applyBorder="1" applyAlignment="1">
      <alignment horizontal="center" wrapText="1"/>
    </xf>
    <xf numFmtId="0" fontId="89" fillId="0" borderId="39" xfId="0" applyFont="1" applyBorder="1" applyAlignment="1">
      <alignment horizontal="center" vertical="center" wrapText="1"/>
    </xf>
    <xf numFmtId="0" fontId="89" fillId="0" borderId="39" xfId="0" applyFont="1" applyBorder="1" applyAlignment="1">
      <alignment horizontal="right" wrapText="1"/>
    </xf>
    <xf numFmtId="0" fontId="89" fillId="0" borderId="39" xfId="0" applyFont="1" applyBorder="1" applyAlignment="1">
      <alignment horizontal="right" vertical="center"/>
    </xf>
    <xf numFmtId="1" fontId="89" fillId="0" borderId="36" xfId="0" applyNumberFormat="1" applyFont="1" applyBorder="1" applyAlignment="1">
      <alignment horizontal="center" vertical="top"/>
    </xf>
    <xf numFmtId="1" fontId="89" fillId="0" borderId="39" xfId="0" applyNumberFormat="1" applyFont="1" applyBorder="1" applyAlignment="1">
      <alignment horizontal="right" vertical="center"/>
    </xf>
    <xf numFmtId="1" fontId="89" fillId="0" borderId="46" xfId="0" applyNumberFormat="1" applyFont="1" applyBorder="1" applyAlignment="1">
      <alignment horizontal="right" vertical="center"/>
    </xf>
    <xf numFmtId="0" fontId="89" fillId="0" borderId="39" xfId="0" applyFont="1" applyBorder="1" applyAlignment="1">
      <alignment/>
    </xf>
    <xf numFmtId="14" fontId="0" fillId="0" borderId="74" xfId="0" applyNumberFormat="1" applyBorder="1" applyAlignment="1">
      <alignment horizontal="center"/>
    </xf>
    <xf numFmtId="0" fontId="0" fillId="0" borderId="36" xfId="0" applyBorder="1" applyAlignment="1">
      <alignment horizontal="center" vertical="center"/>
    </xf>
    <xf numFmtId="0" fontId="0" fillId="0" borderId="36" xfId="0" applyBorder="1" applyAlignment="1">
      <alignment/>
    </xf>
    <xf numFmtId="186" fontId="23" fillId="34" borderId="81" xfId="0" applyNumberFormat="1" applyFont="1" applyFill="1" applyBorder="1" applyAlignment="1">
      <alignment vertical="center" textRotation="90"/>
    </xf>
    <xf numFmtId="186" fontId="12" fillId="0" borderId="0" xfId="0" applyNumberFormat="1" applyFont="1" applyAlignment="1">
      <alignment/>
    </xf>
    <xf numFmtId="186" fontId="39" fillId="0" borderId="12" xfId="0" applyNumberFormat="1" applyFont="1" applyBorder="1" applyAlignment="1" applyProtection="1">
      <alignment/>
      <protection locked="0"/>
    </xf>
    <xf numFmtId="186" fontId="12" fillId="33" borderId="11" xfId="0" applyNumberFormat="1" applyFont="1" applyFill="1" applyBorder="1" applyAlignment="1">
      <alignment horizontal="center"/>
    </xf>
    <xf numFmtId="186" fontId="39" fillId="0" borderId="31" xfId="0" applyNumberFormat="1" applyFont="1" applyBorder="1" applyAlignment="1" applyProtection="1">
      <alignment/>
      <protection locked="0"/>
    </xf>
    <xf numFmtId="186" fontId="12" fillId="33" borderId="31" xfId="0" applyNumberFormat="1" applyFont="1" applyFill="1" applyBorder="1" applyAlignment="1">
      <alignment horizontal="left"/>
    </xf>
    <xf numFmtId="0" fontId="12" fillId="0" borderId="0" xfId="0" applyFont="1" applyBorder="1" applyAlignment="1">
      <alignment horizontal="center" wrapText="1"/>
    </xf>
    <xf numFmtId="0" fontId="42" fillId="0" borderId="0" xfId="0" applyFont="1" applyBorder="1" applyAlignment="1">
      <alignment horizontal="center" wrapText="1"/>
    </xf>
    <xf numFmtId="0" fontId="46" fillId="0" borderId="0" xfId="0" applyFont="1" applyBorder="1" applyAlignment="1">
      <alignment horizontal="center" wrapText="1"/>
    </xf>
    <xf numFmtId="0" fontId="0" fillId="0" borderId="0" xfId="0" applyFont="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90" fillId="0" borderId="11" xfId="0" applyFont="1" applyBorder="1" applyAlignment="1">
      <alignment horizontal="left"/>
    </xf>
    <xf numFmtId="0" fontId="90" fillId="0" borderId="12" xfId="0" applyFont="1" applyBorder="1" applyAlignment="1">
      <alignment horizontal="left"/>
    </xf>
    <xf numFmtId="0" fontId="90" fillId="0" borderId="31" xfId="0" applyFont="1" applyBorder="1" applyAlignment="1">
      <alignment horizontal="left"/>
    </xf>
    <xf numFmtId="0" fontId="12" fillId="37" borderId="12" xfId="0" applyFont="1" applyFill="1" applyBorder="1" applyAlignment="1">
      <alignment horizontal="center"/>
    </xf>
    <xf numFmtId="0" fontId="12" fillId="38" borderId="10" xfId="0" applyFont="1" applyFill="1" applyBorder="1" applyAlignment="1">
      <alignment horizontal="left"/>
    </xf>
    <xf numFmtId="0" fontId="40" fillId="0" borderId="10" xfId="0" applyFont="1" applyFill="1" applyBorder="1" applyAlignment="1" applyProtection="1">
      <alignment horizontal="left" vertical="center"/>
      <protection locked="0"/>
    </xf>
    <xf numFmtId="0" fontId="12" fillId="33" borderId="10" xfId="0" applyFont="1" applyFill="1" applyBorder="1" applyAlignment="1">
      <alignment horizontal="left" vertical="center" wrapText="1"/>
    </xf>
    <xf numFmtId="0" fontId="39" fillId="0" borderId="10" xfId="0" applyFont="1" applyBorder="1" applyAlignment="1" applyProtection="1">
      <alignment horizontal="left" vertical="center"/>
      <protection locked="0"/>
    </xf>
    <xf numFmtId="0" fontId="12" fillId="38" borderId="10" xfId="0" applyFont="1" applyFill="1" applyBorder="1" applyAlignment="1">
      <alignment horizontal="left" vertical="center" wrapText="1"/>
    </xf>
    <xf numFmtId="0" fontId="0" fillId="0" borderId="0" xfId="0" applyFill="1" applyAlignment="1">
      <alignment horizontal="center"/>
    </xf>
    <xf numFmtId="0" fontId="39" fillId="0" borderId="10" xfId="0" applyFont="1" applyBorder="1" applyAlignment="1" applyProtection="1">
      <alignment horizontal="left"/>
      <protection locked="0"/>
    </xf>
    <xf numFmtId="0" fontId="39" fillId="0" borderId="10" xfId="0" applyFont="1" applyFill="1" applyBorder="1" applyAlignment="1" applyProtection="1">
      <alignment horizontal="left" vertical="center"/>
      <protection locked="0"/>
    </xf>
    <xf numFmtId="0" fontId="23" fillId="35" borderId="94" xfId="0" applyFont="1" applyFill="1" applyBorder="1" applyAlignment="1">
      <alignment horizontal="center" vertical="center" textRotation="90"/>
    </xf>
    <xf numFmtId="0" fontId="23" fillId="35" borderId="95" xfId="0" applyFont="1" applyFill="1" applyBorder="1" applyAlignment="1">
      <alignment horizontal="center" vertical="center" textRotation="90"/>
    </xf>
    <xf numFmtId="0" fontId="23" fillId="35" borderId="96" xfId="0" applyFont="1" applyFill="1" applyBorder="1" applyAlignment="1">
      <alignment horizontal="center" vertical="center" textRotation="90"/>
    </xf>
    <xf numFmtId="49" fontId="39" fillId="0" borderId="10" xfId="0" applyNumberFormat="1" applyFont="1" applyBorder="1" applyAlignment="1" applyProtection="1">
      <alignment horizontal="left" vertical="center"/>
      <protection locked="0"/>
    </xf>
    <xf numFmtId="0" fontId="12" fillId="33" borderId="10" xfId="0" applyFont="1" applyFill="1" applyBorder="1" applyAlignment="1">
      <alignment horizontal="left"/>
    </xf>
    <xf numFmtId="0" fontId="39" fillId="0" borderId="11" xfId="0" applyFont="1" applyFill="1" applyBorder="1" applyAlignment="1" applyProtection="1">
      <alignment horizontal="left"/>
      <protection locked="0"/>
    </xf>
    <xf numFmtId="0" fontId="39" fillId="0" borderId="12" xfId="0" applyFont="1" applyFill="1" applyBorder="1" applyAlignment="1" applyProtection="1">
      <alignment horizontal="left"/>
      <protection locked="0"/>
    </xf>
    <xf numFmtId="0" fontId="39" fillId="0" borderId="31" xfId="0" applyFont="1" applyFill="1" applyBorder="1" applyAlignment="1" applyProtection="1">
      <alignment horizontal="left"/>
      <protection locked="0"/>
    </xf>
    <xf numFmtId="0" fontId="12" fillId="37" borderId="10" xfId="0" applyFont="1" applyFill="1" applyBorder="1" applyAlignment="1">
      <alignment horizontal="left" vertical="center" wrapText="1"/>
    </xf>
    <xf numFmtId="0" fontId="12" fillId="38" borderId="11" xfId="0" applyFont="1" applyFill="1" applyBorder="1" applyAlignment="1">
      <alignment horizontal="left" vertical="center" wrapText="1"/>
    </xf>
    <xf numFmtId="0" fontId="12" fillId="38" borderId="31" xfId="0" applyFont="1" applyFill="1" applyBorder="1" applyAlignment="1">
      <alignment horizontal="left" vertical="center" wrapText="1"/>
    </xf>
    <xf numFmtId="49" fontId="40" fillId="0" borderId="10" xfId="0" applyNumberFormat="1" applyFont="1" applyBorder="1" applyAlignment="1" applyProtection="1">
      <alignment horizontal="left"/>
      <protection locked="0"/>
    </xf>
    <xf numFmtId="49" fontId="39" fillId="0" borderId="11" xfId="0" applyNumberFormat="1" applyFont="1" applyBorder="1" applyAlignment="1" applyProtection="1">
      <alignment horizontal="left" vertical="center"/>
      <protection locked="0"/>
    </xf>
    <xf numFmtId="49" fontId="39" fillId="0" borderId="12" xfId="0" applyNumberFormat="1" applyFont="1" applyBorder="1" applyAlignment="1" applyProtection="1">
      <alignment horizontal="left" vertical="center"/>
      <protection locked="0"/>
    </xf>
    <xf numFmtId="49" fontId="39" fillId="0" borderId="31" xfId="0" applyNumberFormat="1" applyFont="1" applyBorder="1" applyAlignment="1" applyProtection="1">
      <alignment horizontal="left" vertical="center"/>
      <protection locked="0"/>
    </xf>
    <xf numFmtId="0" fontId="40" fillId="0" borderId="10" xfId="0" applyFont="1" applyBorder="1" applyAlignment="1" applyProtection="1">
      <alignment horizontal="left" vertical="center"/>
      <protection locked="0"/>
    </xf>
    <xf numFmtId="0" fontId="38" fillId="39" borderId="97" xfId="0" applyFont="1" applyFill="1" applyBorder="1" applyAlignment="1">
      <alignment horizontal="center"/>
    </xf>
    <xf numFmtId="0" fontId="38" fillId="39" borderId="98" xfId="0" applyFont="1" applyFill="1" applyBorder="1" applyAlignment="1">
      <alignment horizontal="center"/>
    </xf>
    <xf numFmtId="0" fontId="23" fillId="40" borderId="94" xfId="0" applyFont="1" applyFill="1" applyBorder="1" applyAlignment="1">
      <alignment horizontal="center" vertical="center" textRotation="90"/>
    </xf>
    <xf numFmtId="0" fontId="23" fillId="40" borderId="95" xfId="0" applyFont="1" applyFill="1" applyBorder="1" applyAlignment="1">
      <alignment horizontal="center" vertical="center" textRotation="90"/>
    </xf>
    <xf numFmtId="0" fontId="23" fillId="40" borderId="96" xfId="0" applyFont="1" applyFill="1" applyBorder="1" applyAlignment="1">
      <alignment horizontal="center" vertical="center" textRotation="90"/>
    </xf>
    <xf numFmtId="0" fontId="39" fillId="0" borderId="11" xfId="0" applyFont="1" applyBorder="1" applyAlignment="1" applyProtection="1">
      <alignment horizontal="left"/>
      <protection locked="0"/>
    </xf>
    <xf numFmtId="0" fontId="39" fillId="0" borderId="12" xfId="0" applyFont="1" applyBorder="1" applyAlignment="1" applyProtection="1">
      <alignment horizontal="left"/>
      <protection locked="0"/>
    </xf>
    <xf numFmtId="0" fontId="39" fillId="0" borderId="31" xfId="0" applyFont="1" applyBorder="1" applyAlignment="1" applyProtection="1">
      <alignment horizontal="left"/>
      <protection locked="0"/>
    </xf>
    <xf numFmtId="0" fontId="12" fillId="41" borderId="10" xfId="0" applyFont="1" applyFill="1" applyBorder="1" applyAlignment="1">
      <alignment horizontal="left"/>
    </xf>
    <xf numFmtId="0" fontId="8" fillId="0" borderId="14" xfId="0" applyFont="1" applyBorder="1" applyAlignment="1">
      <alignment horizontal="center" textRotation="90"/>
    </xf>
    <xf numFmtId="0" fontId="8" fillId="0" borderId="0" xfId="0" applyFont="1" applyBorder="1" applyAlignment="1">
      <alignment horizontal="center" textRotation="90"/>
    </xf>
    <xf numFmtId="0" fontId="0" fillId="0" borderId="0" xfId="0" applyFont="1" applyBorder="1" applyAlignment="1">
      <alignment horizontal="left"/>
    </xf>
    <xf numFmtId="1" fontId="10" fillId="0" borderId="0" xfId="0" applyNumberFormat="1"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9" fillId="0" borderId="0" xfId="0" applyFont="1" applyBorder="1" applyAlignment="1">
      <alignment horizontal="left"/>
    </xf>
    <xf numFmtId="1" fontId="7" fillId="0" borderId="16" xfId="0" applyNumberFormat="1" applyFont="1" applyBorder="1" applyAlignment="1">
      <alignment horizontal="center"/>
    </xf>
    <xf numFmtId="0" fontId="7" fillId="0" borderId="16" xfId="0" applyFont="1" applyBorder="1" applyAlignment="1">
      <alignment horizontal="center"/>
    </xf>
    <xf numFmtId="0" fontId="25" fillId="0" borderId="0" xfId="0" applyFont="1" applyBorder="1" applyAlignment="1">
      <alignment horizontal="center"/>
    </xf>
    <xf numFmtId="0" fontId="7" fillId="0" borderId="0" xfId="0" applyFont="1" applyBorder="1" applyAlignment="1">
      <alignment horizontal="center"/>
    </xf>
    <xf numFmtId="0" fontId="0" fillId="0" borderId="14" xfId="0" applyFont="1" applyBorder="1" applyAlignment="1">
      <alignment horizontal="left"/>
    </xf>
    <xf numFmtId="0" fontId="0" fillId="0" borderId="14" xfId="0" applyFont="1" applyBorder="1" applyAlignment="1">
      <alignment horizontal="left"/>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2" fillId="0" borderId="10" xfId="0" applyFont="1" applyBorder="1" applyAlignment="1">
      <alignment horizontal="center" wrapText="1"/>
    </xf>
    <xf numFmtId="0" fontId="11" fillId="0" borderId="0" xfId="0" applyFont="1" applyBorder="1" applyAlignment="1">
      <alignment horizontal="center"/>
    </xf>
    <xf numFmtId="0" fontId="0" fillId="0" borderId="0" xfId="0" applyFont="1" applyBorder="1" applyAlignment="1">
      <alignment horizontal="center" wrapText="1"/>
    </xf>
    <xf numFmtId="1"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vertical="center" wrapText="1"/>
    </xf>
    <xf numFmtId="0" fontId="6" fillId="0" borderId="0" xfId="0" applyFont="1" applyBorder="1" applyAlignment="1">
      <alignment horizontal="center"/>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0" fillId="0" borderId="0" xfId="0" applyFont="1" applyBorder="1" applyAlignment="1">
      <alignment horizontal="right" vertical="center"/>
    </xf>
    <xf numFmtId="0" fontId="0" fillId="0" borderId="0" xfId="0" applyFont="1" applyBorder="1" applyAlignment="1">
      <alignment horizontal="center" vertical="center" wrapText="1"/>
    </xf>
    <xf numFmtId="0" fontId="9" fillId="0" borderId="0" xfId="0" applyFont="1" applyBorder="1" applyAlignment="1">
      <alignment horizontal="center"/>
    </xf>
    <xf numFmtId="0" fontId="36" fillId="0" borderId="0" xfId="0" applyFont="1" applyBorder="1" applyAlignment="1">
      <alignment horizontal="center" textRotation="90"/>
    </xf>
    <xf numFmtId="0" fontId="0" fillId="0" borderId="0" xfId="0" applyFont="1" applyBorder="1" applyAlignment="1">
      <alignment horizontal="right" vertical="center"/>
    </xf>
    <xf numFmtId="0" fontId="0" fillId="0" borderId="0" xfId="0" applyFont="1" applyBorder="1" applyAlignment="1">
      <alignment horizontal="left" vertical="center" wrapText="1"/>
    </xf>
    <xf numFmtId="0" fontId="0" fillId="0" borderId="0" xfId="0" applyFont="1" applyBorder="1" applyAlignment="1">
      <alignment horizontal="center"/>
    </xf>
    <xf numFmtId="0" fontId="14" fillId="0" borderId="0" xfId="0" applyFont="1" applyFill="1" applyBorder="1" applyAlignment="1">
      <alignment horizontal="left" vertical="center"/>
    </xf>
    <xf numFmtId="0" fontId="37" fillId="0" borderId="0" xfId="0" applyFont="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0" fillId="0" borderId="1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1" fillId="0" borderId="10" xfId="0" applyFont="1" applyFill="1" applyBorder="1" applyAlignment="1">
      <alignment horizontal="center" vertical="center" textRotation="90" wrapText="1"/>
    </xf>
    <xf numFmtId="0" fontId="0" fillId="0" borderId="23" xfId="0" applyFont="1" applyBorder="1" applyAlignment="1">
      <alignment horizontal="center" vertical="center"/>
    </xf>
    <xf numFmtId="0" fontId="0" fillId="0" borderId="18" xfId="0" applyFont="1" applyBorder="1" applyAlignment="1">
      <alignment horizontal="center" vertical="center" wrapText="1"/>
    </xf>
    <xf numFmtId="0" fontId="0" fillId="0" borderId="10" xfId="0" applyFont="1" applyBorder="1" applyAlignment="1">
      <alignment horizontal="center" vertical="center" textRotation="90"/>
    </xf>
    <xf numFmtId="0" fontId="0" fillId="0" borderId="10" xfId="0" applyFont="1" applyBorder="1" applyAlignment="1">
      <alignment horizontal="center" vertical="center" wrapText="1"/>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16" fillId="0" borderId="20"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0" fillId="0" borderId="0" xfId="0" applyFont="1" applyBorder="1" applyAlignment="1">
      <alignment horizontal="left" vertical="center"/>
    </xf>
    <xf numFmtId="0" fontId="14" fillId="0" borderId="20" xfId="0" applyFont="1" applyBorder="1" applyAlignment="1">
      <alignment horizontal="center" vertical="center" wrapText="1"/>
    </xf>
    <xf numFmtId="0" fontId="0" fillId="0" borderId="0" xfId="0" applyFont="1" applyBorder="1" applyAlignment="1">
      <alignment horizontal="right" vertical="center"/>
    </xf>
    <xf numFmtId="2" fontId="0" fillId="0" borderId="0" xfId="0" applyNumberFormat="1" applyFont="1" applyBorder="1" applyAlignment="1">
      <alignment horizontal="left" vertical="center"/>
    </xf>
    <xf numFmtId="0" fontId="1" fillId="0" borderId="0" xfId="0" applyFont="1" applyBorder="1" applyAlignment="1">
      <alignment horizontal="center" vertical="center" wrapText="1"/>
    </xf>
    <xf numFmtId="0" fontId="1" fillId="0" borderId="71" xfId="0" applyFont="1" applyBorder="1" applyAlignment="1">
      <alignment horizontal="center" vertical="center" wrapText="1"/>
    </xf>
    <xf numFmtId="0" fontId="12" fillId="0" borderId="99" xfId="0" applyFont="1" applyBorder="1" applyAlignment="1">
      <alignment horizontal="right" vertical="center" wrapText="1"/>
    </xf>
    <xf numFmtId="0" fontId="12" fillId="0" borderId="100" xfId="0" applyFont="1" applyBorder="1" applyAlignment="1">
      <alignment horizontal="right" vertical="center" wrapText="1"/>
    </xf>
    <xf numFmtId="178" fontId="26" fillId="0" borderId="101" xfId="57" applyNumberFormat="1" applyFont="1" applyFill="1" applyBorder="1" applyAlignment="1">
      <alignment horizontal="center" vertical="center" wrapText="1"/>
      <protection/>
    </xf>
    <xf numFmtId="178" fontId="26" fillId="0" borderId="102" xfId="57" applyNumberFormat="1" applyFont="1" applyFill="1" applyBorder="1" applyAlignment="1">
      <alignment horizontal="center" vertical="center" wrapText="1"/>
      <protection/>
    </xf>
    <xf numFmtId="0" fontId="12" fillId="0" borderId="12" xfId="0" applyFont="1" applyBorder="1" applyAlignment="1">
      <alignment horizontal="right" vertical="center"/>
    </xf>
    <xf numFmtId="0" fontId="12" fillId="0" borderId="103" xfId="0" applyFont="1" applyBorder="1" applyAlignment="1">
      <alignment horizontal="center" vertical="center" wrapText="1"/>
    </xf>
    <xf numFmtId="0" fontId="12" fillId="0" borderId="104"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104"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41"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43" xfId="0" applyFont="1" applyBorder="1" applyAlignment="1">
      <alignment horizontal="center" vertical="center" wrapText="1"/>
    </xf>
    <xf numFmtId="0" fontId="1" fillId="0" borderId="17" xfId="0" applyFont="1" applyBorder="1" applyAlignment="1">
      <alignment horizontal="left" vertical="center" wrapText="1"/>
    </xf>
    <xf numFmtId="0" fontId="1" fillId="0" borderId="48" xfId="0" applyFont="1" applyBorder="1" applyAlignment="1">
      <alignment horizontal="left" vertical="center" wrapText="1"/>
    </xf>
    <xf numFmtId="0" fontId="1" fillId="0" borderId="33" xfId="0" applyFont="1" applyBorder="1" applyAlignment="1">
      <alignment horizontal="center" vertical="center" wrapText="1"/>
    </xf>
    <xf numFmtId="0" fontId="1" fillId="0" borderId="47"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31" xfId="0" applyFont="1" applyBorder="1" applyAlignment="1">
      <alignment horizontal="left" vertical="center" wrapText="1"/>
    </xf>
    <xf numFmtId="0" fontId="24" fillId="0" borderId="12" xfId="0" applyFont="1" applyBorder="1" applyAlignment="1">
      <alignment horizont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31" xfId="0" applyFont="1" applyBorder="1" applyAlignment="1">
      <alignment horizontal="center" vertical="center" wrapText="1"/>
    </xf>
    <xf numFmtId="0" fontId="18"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horizontal="center" wrapText="1"/>
    </xf>
    <xf numFmtId="0" fontId="6" fillId="0" borderId="71" xfId="0" applyFont="1" applyBorder="1" applyAlignment="1">
      <alignment horizontal="center" vertical="center"/>
    </xf>
    <xf numFmtId="0" fontId="6" fillId="0" borderId="81" xfId="0" applyFont="1" applyBorder="1" applyAlignment="1">
      <alignment horizontal="center" vertical="center"/>
    </xf>
    <xf numFmtId="0" fontId="6" fillId="0" borderId="33" xfId="0" applyFont="1" applyBorder="1" applyAlignment="1">
      <alignment horizontal="center" vertical="center"/>
    </xf>
    <xf numFmtId="0" fontId="0" fillId="0" borderId="71" xfId="0" applyFont="1" applyBorder="1" applyAlignment="1">
      <alignment horizontal="center" vertical="center"/>
    </xf>
    <xf numFmtId="0" fontId="0" fillId="0" borderId="81" xfId="0" applyFont="1" applyBorder="1" applyAlignment="1">
      <alignment horizontal="center" vertical="center"/>
    </xf>
    <xf numFmtId="0" fontId="0" fillId="0" borderId="33" xfId="0" applyFont="1" applyBorder="1" applyAlignment="1">
      <alignment horizontal="center" vertical="center"/>
    </xf>
    <xf numFmtId="0" fontId="24" fillId="0" borderId="97" xfId="0" applyFont="1" applyBorder="1" applyAlignment="1">
      <alignment horizontal="center"/>
    </xf>
    <xf numFmtId="0" fontId="24" fillId="0" borderId="98" xfId="0" applyFont="1" applyBorder="1" applyAlignment="1">
      <alignment horizontal="center"/>
    </xf>
    <xf numFmtId="0" fontId="24" fillId="0" borderId="107" xfId="0" applyFont="1" applyBorder="1" applyAlignment="1">
      <alignment horizontal="center"/>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108" xfId="0" applyBorder="1" applyAlignment="1">
      <alignment horizontal="left" vertical="top" wrapText="1"/>
    </xf>
    <xf numFmtId="0" fontId="0" fillId="0" borderId="0" xfId="0" applyBorder="1" applyAlignment="1">
      <alignment horizontal="right" vertical="top" wrapText="1"/>
    </xf>
    <xf numFmtId="0" fontId="0" fillId="0" borderId="108" xfId="0" applyBorder="1" applyAlignment="1">
      <alignment horizontal="right" vertical="top" wrapText="1"/>
    </xf>
    <xf numFmtId="0" fontId="0" fillId="0" borderId="51" xfId="0" applyBorder="1" applyAlignment="1">
      <alignment horizontal="right" vertical="top" wrapText="1"/>
    </xf>
    <xf numFmtId="0" fontId="0" fillId="0" borderId="58" xfId="0" applyBorder="1" applyAlignment="1">
      <alignment horizontal="right" vertical="top" wrapText="1"/>
    </xf>
    <xf numFmtId="0" fontId="0" fillId="0" borderId="109" xfId="0" applyBorder="1" applyAlignment="1">
      <alignment horizontal="center" vertical="center" textRotation="90"/>
    </xf>
    <xf numFmtId="0" fontId="0" fillId="0" borderId="110" xfId="0" applyBorder="1" applyAlignment="1">
      <alignment horizontal="center" vertical="center" textRotation="90"/>
    </xf>
    <xf numFmtId="0" fontId="0" fillId="0" borderId="32"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textRotation="90" wrapText="1"/>
    </xf>
    <xf numFmtId="0" fontId="0" fillId="0" borderId="10" xfId="0" applyBorder="1" applyAlignment="1">
      <alignment horizontal="center" vertical="center" textRotation="90" wrapText="1"/>
    </xf>
    <xf numFmtId="0" fontId="1" fillId="0" borderId="32" xfId="0" applyFont="1" applyBorder="1" applyAlignment="1">
      <alignment horizontal="center" vertical="center" textRotation="90" wrapText="1"/>
    </xf>
    <xf numFmtId="0" fontId="0" fillId="0" borderId="32" xfId="0" applyBorder="1" applyAlignment="1">
      <alignment horizontal="center" textRotation="90" wrapText="1"/>
    </xf>
    <xf numFmtId="0" fontId="0" fillId="0" borderId="10" xfId="0" applyBorder="1" applyAlignment="1">
      <alignment horizontal="center" textRotation="90" wrapText="1"/>
    </xf>
    <xf numFmtId="0" fontId="0" fillId="0" borderId="0" xfId="0" applyAlignment="1">
      <alignment horizontal="left" vertical="center"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0" fillId="0" borderId="111" xfId="0" applyBorder="1" applyAlignment="1">
      <alignment horizontal="center" vertical="center" wrapText="1"/>
    </xf>
    <xf numFmtId="0" fontId="0" fillId="0" borderId="53" xfId="0" applyBorder="1" applyAlignment="1">
      <alignment horizontal="center" vertical="center" wrapText="1"/>
    </xf>
    <xf numFmtId="0" fontId="0" fillId="0" borderId="0" xfId="0" applyAlignment="1">
      <alignment horizontal="left"/>
    </xf>
    <xf numFmtId="0" fontId="28" fillId="0" borderId="0" xfId="57" applyFont="1" applyBorder="1" applyAlignment="1">
      <alignment horizontal="center"/>
      <protection/>
    </xf>
    <xf numFmtId="2" fontId="30" fillId="0" borderId="17" xfId="57" applyNumberFormat="1" applyFont="1" applyBorder="1" applyAlignment="1">
      <alignment horizontal="center"/>
      <protection/>
    </xf>
    <xf numFmtId="179" fontId="29" fillId="0" borderId="0" xfId="57" applyNumberFormat="1" applyFont="1" applyBorder="1" applyAlignment="1">
      <alignment horizontal="center" shrinkToFit="1"/>
      <protection/>
    </xf>
    <xf numFmtId="0" fontId="28" fillId="0" borderId="0" xfId="57" applyFont="1" applyAlignment="1">
      <alignment horizontal="center" vertical="center" wrapText="1"/>
      <protection/>
    </xf>
    <xf numFmtId="0" fontId="30" fillId="0" borderId="0" xfId="57" applyFont="1" applyAlignment="1">
      <alignment horizontal="center" vertical="center" wrapText="1"/>
      <protection/>
    </xf>
    <xf numFmtId="1" fontId="30" fillId="0" borderId="0" xfId="57" applyNumberFormat="1" applyFont="1" applyBorder="1" applyAlignment="1">
      <alignment horizontal="left" vertical="center" wrapText="1"/>
      <protection/>
    </xf>
    <xf numFmtId="1" fontId="30" fillId="0" borderId="17" xfId="57" applyNumberFormat="1" applyFont="1" applyBorder="1" applyAlignment="1">
      <alignment horizontal="left" vertical="center" wrapText="1"/>
      <protection/>
    </xf>
    <xf numFmtId="0" fontId="27" fillId="0" borderId="0" xfId="57" applyFont="1" applyAlignment="1">
      <alignment horizontal="left" vertical="center" wrapText="1" shrinkToFit="1"/>
      <protection/>
    </xf>
    <xf numFmtId="0" fontId="1" fillId="0" borderId="13" xfId="57" applyFont="1" applyBorder="1" applyAlignment="1">
      <alignment horizontal="left" vertical="top" wrapText="1"/>
      <protection/>
    </xf>
    <xf numFmtId="0" fontId="1" fillId="0" borderId="0" xfId="57" applyFont="1" applyBorder="1" applyAlignment="1">
      <alignment horizontal="left" vertical="top" wrapText="1"/>
      <protection/>
    </xf>
    <xf numFmtId="0" fontId="28" fillId="0" borderId="0" xfId="57" applyFont="1" applyAlignment="1">
      <alignment horizontal="center" shrinkToFit="1"/>
      <protection/>
    </xf>
    <xf numFmtId="0" fontId="32" fillId="0" borderId="12" xfId="57" applyFont="1" applyBorder="1" applyAlignment="1">
      <alignment horizontal="left" shrinkToFit="1"/>
      <protection/>
    </xf>
    <xf numFmtId="0" fontId="28" fillId="0" borderId="33" xfId="57" applyFont="1" applyBorder="1" applyAlignment="1">
      <alignment horizontal="center" vertical="center" wrapText="1"/>
      <protection/>
    </xf>
    <xf numFmtId="0" fontId="30" fillId="0" borderId="0" xfId="57" applyFont="1" applyAlignment="1">
      <alignment horizontal="center"/>
      <protection/>
    </xf>
    <xf numFmtId="0" fontId="28" fillId="0" borderId="0" xfId="57" applyFont="1" applyAlignment="1">
      <alignment horizontal="center" vertical="top"/>
      <protection/>
    </xf>
    <xf numFmtId="0" fontId="31" fillId="0" borderId="0" xfId="57" applyFont="1" applyAlignment="1">
      <alignment horizontal="center" vertical="center"/>
      <protection/>
    </xf>
    <xf numFmtId="0" fontId="28" fillId="0" borderId="0" xfId="57" applyFont="1">
      <alignment/>
      <protection/>
    </xf>
    <xf numFmtId="0" fontId="33" fillId="0" borderId="0" xfId="57" applyFont="1" applyAlignment="1">
      <alignment/>
      <protection/>
    </xf>
    <xf numFmtId="0" fontId="30" fillId="0" borderId="54" xfId="57" applyFont="1" applyBorder="1" applyAlignment="1">
      <alignment horizontal="center" vertical="center" shrinkToFit="1"/>
      <protection/>
    </xf>
    <xf numFmtId="0" fontId="30" fillId="0" borderId="72" xfId="57" applyFont="1" applyBorder="1" applyAlignment="1">
      <alignment horizontal="center" vertical="center" shrinkToFit="1"/>
      <protection/>
    </xf>
    <xf numFmtId="0" fontId="30" fillId="0" borderId="54" xfId="57" applyFont="1" applyBorder="1" applyAlignment="1">
      <alignment horizontal="center" vertical="center"/>
      <protection/>
    </xf>
    <xf numFmtId="0" fontId="30" fillId="0" borderId="56" xfId="57" applyFont="1" applyBorder="1" applyAlignment="1">
      <alignment horizontal="center" vertical="center"/>
      <protection/>
    </xf>
    <xf numFmtId="0" fontId="28" fillId="0" borderId="33" xfId="57" applyFont="1" applyBorder="1" applyAlignment="1">
      <alignment horizontal="left" vertical="top"/>
      <protection/>
    </xf>
    <xf numFmtId="0" fontId="28" fillId="0" borderId="0" xfId="57" applyFont="1" applyBorder="1" applyAlignment="1">
      <alignment horizontal="left" vertical="top"/>
      <protection/>
    </xf>
    <xf numFmtId="0" fontId="12" fillId="0" borderId="89" xfId="0" applyFont="1" applyBorder="1" applyAlignment="1">
      <alignment horizontal="center" vertical="center" wrapText="1"/>
    </xf>
    <xf numFmtId="0" fontId="12" fillId="0" borderId="10" xfId="0" applyFont="1" applyBorder="1" applyAlignment="1">
      <alignment horizontal="lef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31" xfId="0" applyFont="1" applyBorder="1" applyAlignment="1">
      <alignment horizontal="center" vertical="center"/>
    </xf>
    <xf numFmtId="0" fontId="24" fillId="0" borderId="90" xfId="0" applyFont="1" applyBorder="1" applyAlignment="1">
      <alignment horizontal="center" vertical="center"/>
    </xf>
    <xf numFmtId="0" fontId="24" fillId="0" borderId="0" xfId="0" applyFont="1" applyBorder="1" applyAlignment="1">
      <alignment horizontal="center" vertical="center"/>
    </xf>
    <xf numFmtId="0" fontId="24" fillId="0" borderId="87" xfId="0" applyFont="1" applyBorder="1" applyAlignment="1">
      <alignment horizontal="center" vertical="center"/>
    </xf>
    <xf numFmtId="0" fontId="10" fillId="0" borderId="0" xfId="0" applyFont="1" applyBorder="1" applyAlignment="1">
      <alignment horizontal="center" vertical="center"/>
    </xf>
    <xf numFmtId="0" fontId="10" fillId="0" borderId="87" xfId="0" applyFont="1" applyBorder="1" applyAlignment="1">
      <alignment horizontal="center" vertical="center"/>
    </xf>
    <xf numFmtId="178" fontId="17" fillId="0" borderId="17" xfId="0" applyNumberFormat="1" applyFont="1" applyBorder="1" applyAlignment="1">
      <alignment horizontal="center" vertical="center"/>
    </xf>
    <xf numFmtId="178" fontId="23" fillId="0" borderId="17" xfId="0" applyNumberFormat="1" applyFont="1" applyBorder="1" applyAlignment="1">
      <alignment horizontal="center" vertical="center"/>
    </xf>
    <xf numFmtId="0" fontId="12" fillId="0" borderId="8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0" xfId="0" applyFont="1" applyBorder="1" applyAlignment="1">
      <alignment horizontal="center" vertical="center" wrapText="1" shrinkToFit="1"/>
    </xf>
    <xf numFmtId="0" fontId="48" fillId="0" borderId="90"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87"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38</xdr:row>
      <xdr:rowOff>0</xdr:rowOff>
    </xdr:from>
    <xdr:to>
      <xdr:col>1</xdr:col>
      <xdr:colOff>962025</xdr:colOff>
      <xdr:row>39</xdr:row>
      <xdr:rowOff>323850</xdr:rowOff>
    </xdr:to>
    <xdr:sp>
      <xdr:nvSpPr>
        <xdr:cNvPr id="1" name="Oval 1"/>
        <xdr:cNvSpPr>
          <a:spLocks/>
        </xdr:cNvSpPr>
      </xdr:nvSpPr>
      <xdr:spPr>
        <a:xfrm>
          <a:off x="314325" y="8353425"/>
          <a:ext cx="904875" cy="6572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NBST /
</a:t>
          </a:r>
          <a:r>
            <a:rPr lang="en-US" cap="none" sz="1000" b="0" i="0" u="none" baseline="0">
              <a:solidFill>
                <a:srgbClr val="000000"/>
              </a:solidFill>
              <a:latin typeface="Arial"/>
              <a:ea typeface="Arial"/>
              <a:cs typeface="Arial"/>
            </a:rPr>
            <a:t>Bank
</a:t>
          </a:r>
          <a:r>
            <a:rPr lang="en-US" cap="none" sz="1000" b="0" i="0" u="none" baseline="0">
              <a:solidFill>
                <a:srgbClr val="000000"/>
              </a:solidFill>
              <a:latin typeface="Arial"/>
              <a:ea typeface="Arial"/>
              <a:cs typeface="Arial"/>
            </a:rPr>
            <a:t>Seal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28</xdr:row>
      <xdr:rowOff>200025</xdr:rowOff>
    </xdr:from>
    <xdr:to>
      <xdr:col>2</xdr:col>
      <xdr:colOff>123825</xdr:colOff>
      <xdr:row>31</xdr:row>
      <xdr:rowOff>152400</xdr:rowOff>
    </xdr:to>
    <xdr:sp>
      <xdr:nvSpPr>
        <xdr:cNvPr id="1" name="Oval 1"/>
        <xdr:cNvSpPr>
          <a:spLocks/>
        </xdr:cNvSpPr>
      </xdr:nvSpPr>
      <xdr:spPr>
        <a:xfrm>
          <a:off x="438150" y="5257800"/>
          <a:ext cx="685800" cy="6858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r">
            <a:defRPr/>
          </a:pPr>
          <a:r>
            <a:rPr lang="en-US" cap="none" sz="1000" b="1" i="0" u="none" baseline="0">
              <a:solidFill>
                <a:srgbClr val="000000"/>
              </a:solidFill>
            </a:rPr>
            <a:t>DDO Seal</a:t>
          </a:r>
          <a:r>
            <a:rPr lang="en-US" cap="none" sz="1000" b="0" i="0" u="none" baseline="0">
              <a:solidFill>
                <a:srgbClr val="000000"/>
              </a:solidFill>
              <a:latin typeface="Arial"/>
              <a:ea typeface="Arial"/>
              <a:cs typeface="Arial"/>
            </a:rPr>
            <a:t>
</a:t>
          </a:r>
        </a:p>
      </xdr:txBody>
    </xdr:sp>
    <xdr:clientData/>
  </xdr:twoCellAnchor>
  <xdr:twoCellAnchor>
    <xdr:from>
      <xdr:col>18</xdr:col>
      <xdr:colOff>28575</xdr:colOff>
      <xdr:row>28</xdr:row>
      <xdr:rowOff>190500</xdr:rowOff>
    </xdr:from>
    <xdr:to>
      <xdr:col>20</xdr:col>
      <xdr:colOff>152400</xdr:colOff>
      <xdr:row>32</xdr:row>
      <xdr:rowOff>76200</xdr:rowOff>
    </xdr:to>
    <xdr:sp>
      <xdr:nvSpPr>
        <xdr:cNvPr id="2" name="Oval 1"/>
        <xdr:cNvSpPr>
          <a:spLocks/>
        </xdr:cNvSpPr>
      </xdr:nvSpPr>
      <xdr:spPr>
        <a:xfrm>
          <a:off x="4800600" y="5248275"/>
          <a:ext cx="790575" cy="78105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ctr">
            <a:defRPr/>
          </a:pPr>
          <a:r>
            <a:rPr lang="en-US" cap="none" sz="1000" b="1" i="0" u="none" baseline="0">
              <a:solidFill>
                <a:srgbClr val="000000"/>
              </a:solidFill>
            </a:rPr>
            <a:t>DDO Seal</a:t>
          </a:r>
          <a:r>
            <a:rPr lang="en-US" cap="none" sz="1000" b="0" i="0" u="none" baseline="0">
              <a:solidFill>
                <a:srgbClr val="000000"/>
              </a:solidFill>
              <a:latin typeface="Arial"/>
              <a:ea typeface="Arial"/>
              <a:cs typeface="Arial"/>
            </a:rPr>
            <a:t>
</a:t>
          </a:r>
        </a:p>
      </xdr:txBody>
    </xdr:sp>
    <xdr:clientData/>
  </xdr:twoCellAnchor>
  <xdr:twoCellAnchor>
    <xdr:from>
      <xdr:col>29</xdr:col>
      <xdr:colOff>114300</xdr:colOff>
      <xdr:row>28</xdr:row>
      <xdr:rowOff>114300</xdr:rowOff>
    </xdr:from>
    <xdr:to>
      <xdr:col>32</xdr:col>
      <xdr:colOff>161925</xdr:colOff>
      <xdr:row>31</xdr:row>
      <xdr:rowOff>142875</xdr:rowOff>
    </xdr:to>
    <xdr:sp>
      <xdr:nvSpPr>
        <xdr:cNvPr id="3" name="Oval 2"/>
        <xdr:cNvSpPr>
          <a:spLocks/>
        </xdr:cNvSpPr>
      </xdr:nvSpPr>
      <xdr:spPr>
        <a:xfrm>
          <a:off x="7620000" y="5172075"/>
          <a:ext cx="523875" cy="762000"/>
        </a:xfrm>
        <a:prstGeom prst="ellipse">
          <a:avLst/>
        </a:prstGeom>
        <a:solidFill>
          <a:srgbClr val="FFFFFF"/>
        </a:solidFill>
        <a:ln w="9525" cmpd="sng">
          <a:solidFill>
            <a:srgbClr val="000000"/>
          </a:solidFill>
          <a:headEnd type="none"/>
          <a:tailEnd type="none"/>
        </a:ln>
      </xdr:spPr>
      <xdr:txBody>
        <a:bodyPr vertOverflow="clip" wrap="square" lIns="36576" tIns="22860" rIns="0" bIns="0" anchor="ctr"/>
        <a:p>
          <a:pPr algn="ctr">
            <a:defRPr/>
          </a:pPr>
          <a:r>
            <a:rPr lang="en-US" cap="none" sz="1000" b="1" i="0" u="none" baseline="0">
              <a:solidFill>
                <a:srgbClr val="000000"/>
              </a:solidFill>
            </a:rPr>
            <a:t>STO Seal</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aarthu\My%20Documents\SureshAddin.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My%20Documents\Downloads\S.DPRASADBPE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murtyofficefiles\office%20files\NOTIONAL-1\DSC-2001\M.RAMA%20MURTH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murtyofficefiles\office%20files\NOTIONAL-1\DSC-2001\ORIGINAL%20BILL(not%20modifi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definedNames>
      <definedName name="rswords"/>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inf"/>
      <sheetName val=" "/>
      <sheetName val="Proc"/>
      <sheetName val="ap471"/>
      <sheetName val="ap472"/>
      <sheetName val="bill"/>
      <sheetName val="INC.CER"/>
      <sheetName val="zppf"/>
      <sheetName val="ptax"/>
      <sheetName val="ptok"/>
      <sheetName val="bank"/>
      <sheetName val="css&amp;Gpf"/>
      <sheetName val="cps"/>
      <sheetName val="words"/>
      <sheetName val="scl"/>
      <sheetName val="Sheet1"/>
    </sheetNames>
    <sheetDataSet>
      <sheetData sheetId="15">
        <row r="3">
          <cell r="AA3">
            <v>3850</v>
          </cell>
          <cell r="AB3">
            <v>100</v>
          </cell>
          <cell r="AG3">
            <v>6700</v>
          </cell>
          <cell r="AH3">
            <v>200</v>
          </cell>
        </row>
        <row r="4">
          <cell r="AA4">
            <v>3950</v>
          </cell>
          <cell r="AB4">
            <v>100</v>
          </cell>
          <cell r="AG4">
            <v>6900</v>
          </cell>
          <cell r="AH4">
            <v>200</v>
          </cell>
        </row>
        <row r="5">
          <cell r="AA5">
            <v>4050</v>
          </cell>
          <cell r="AB5">
            <v>100</v>
          </cell>
          <cell r="AG5">
            <v>7100</v>
          </cell>
          <cell r="AH5">
            <v>200</v>
          </cell>
        </row>
        <row r="6">
          <cell r="AA6">
            <v>4150</v>
          </cell>
          <cell r="AB6">
            <v>110</v>
          </cell>
          <cell r="AG6">
            <v>7300</v>
          </cell>
          <cell r="AH6">
            <v>220</v>
          </cell>
        </row>
        <row r="7">
          <cell r="AA7">
            <v>4260</v>
          </cell>
          <cell r="AB7">
            <v>110</v>
          </cell>
          <cell r="AG7">
            <v>7520</v>
          </cell>
          <cell r="AH7">
            <v>220</v>
          </cell>
        </row>
        <row r="8">
          <cell r="AA8">
            <v>4370</v>
          </cell>
          <cell r="AB8">
            <v>110</v>
          </cell>
          <cell r="AG8">
            <v>7740</v>
          </cell>
          <cell r="AH8">
            <v>220</v>
          </cell>
        </row>
        <row r="9">
          <cell r="AA9">
            <v>4480</v>
          </cell>
          <cell r="AB9">
            <v>115</v>
          </cell>
          <cell r="AG9">
            <v>7960</v>
          </cell>
          <cell r="AH9">
            <v>240</v>
          </cell>
        </row>
        <row r="10">
          <cell r="AA10">
            <v>4595</v>
          </cell>
          <cell r="AB10">
            <v>115</v>
          </cell>
          <cell r="AG10">
            <v>8200</v>
          </cell>
          <cell r="AH10">
            <v>240</v>
          </cell>
        </row>
        <row r="11">
          <cell r="AA11">
            <v>4710</v>
          </cell>
          <cell r="AB11">
            <v>115</v>
          </cell>
          <cell r="AG11">
            <v>8440</v>
          </cell>
          <cell r="AH11">
            <v>240</v>
          </cell>
        </row>
        <row r="12">
          <cell r="AA12">
            <v>4825</v>
          </cell>
          <cell r="AB12">
            <v>125</v>
          </cell>
          <cell r="AG12">
            <v>8680</v>
          </cell>
          <cell r="AH12">
            <v>260</v>
          </cell>
        </row>
        <row r="13">
          <cell r="AA13">
            <v>4950</v>
          </cell>
          <cell r="AB13">
            <v>125</v>
          </cell>
          <cell r="AG13">
            <v>8940</v>
          </cell>
          <cell r="AH13">
            <v>260</v>
          </cell>
        </row>
        <row r="14">
          <cell r="AA14">
            <v>5075</v>
          </cell>
          <cell r="AB14">
            <v>125</v>
          </cell>
          <cell r="AG14">
            <v>9200</v>
          </cell>
          <cell r="AH14">
            <v>260</v>
          </cell>
        </row>
        <row r="15">
          <cell r="AA15">
            <v>5200</v>
          </cell>
          <cell r="AB15">
            <v>135</v>
          </cell>
          <cell r="AG15">
            <v>9460</v>
          </cell>
          <cell r="AH15">
            <v>280</v>
          </cell>
        </row>
        <row r="16">
          <cell r="AA16">
            <v>5335</v>
          </cell>
          <cell r="AB16">
            <v>135</v>
          </cell>
          <cell r="AG16">
            <v>9740</v>
          </cell>
          <cell r="AH16">
            <v>280</v>
          </cell>
        </row>
        <row r="17">
          <cell r="AA17">
            <v>5470</v>
          </cell>
          <cell r="AB17">
            <v>135</v>
          </cell>
          <cell r="AG17">
            <v>10020</v>
          </cell>
          <cell r="AH17">
            <v>280</v>
          </cell>
        </row>
        <row r="18">
          <cell r="AA18">
            <v>5605</v>
          </cell>
          <cell r="AB18">
            <v>145</v>
          </cell>
          <cell r="AG18">
            <v>10300</v>
          </cell>
          <cell r="AH18">
            <v>300</v>
          </cell>
        </row>
        <row r="19">
          <cell r="AA19">
            <v>5750</v>
          </cell>
          <cell r="AB19">
            <v>145</v>
          </cell>
          <cell r="AG19">
            <v>10600</v>
          </cell>
          <cell r="AH19">
            <v>300</v>
          </cell>
        </row>
        <row r="20">
          <cell r="AA20">
            <v>5895</v>
          </cell>
          <cell r="AB20">
            <v>145</v>
          </cell>
          <cell r="AG20">
            <v>10900</v>
          </cell>
          <cell r="AH20">
            <v>300</v>
          </cell>
        </row>
        <row r="21">
          <cell r="AA21">
            <v>6040</v>
          </cell>
          <cell r="AB21">
            <v>155</v>
          </cell>
          <cell r="AG21">
            <v>11200</v>
          </cell>
          <cell r="AH21">
            <v>330</v>
          </cell>
        </row>
        <row r="22">
          <cell r="AA22">
            <v>6195</v>
          </cell>
          <cell r="AB22">
            <v>155</v>
          </cell>
          <cell r="AG22">
            <v>11530</v>
          </cell>
          <cell r="AH22">
            <v>330</v>
          </cell>
        </row>
        <row r="23">
          <cell r="AA23">
            <v>6350</v>
          </cell>
          <cell r="AB23">
            <v>155</v>
          </cell>
          <cell r="AG23">
            <v>11860</v>
          </cell>
          <cell r="AH23">
            <v>330</v>
          </cell>
        </row>
        <row r="24">
          <cell r="AA24">
            <v>6505</v>
          </cell>
          <cell r="AB24">
            <v>170</v>
          </cell>
          <cell r="AG24">
            <v>12190</v>
          </cell>
          <cell r="AH24">
            <v>360</v>
          </cell>
        </row>
        <row r="25">
          <cell r="AA25">
            <v>6675</v>
          </cell>
          <cell r="AB25">
            <v>170</v>
          </cell>
          <cell r="AG25">
            <v>12550</v>
          </cell>
          <cell r="AH25">
            <v>360</v>
          </cell>
        </row>
        <row r="26">
          <cell r="AA26">
            <v>6845</v>
          </cell>
          <cell r="AB26">
            <v>170</v>
          </cell>
          <cell r="AG26">
            <v>12910</v>
          </cell>
          <cell r="AH26">
            <v>360</v>
          </cell>
        </row>
        <row r="27">
          <cell r="AA27">
            <v>7015</v>
          </cell>
          <cell r="AB27">
            <v>185</v>
          </cell>
          <cell r="AG27">
            <v>13270</v>
          </cell>
          <cell r="AH27">
            <v>390</v>
          </cell>
        </row>
        <row r="28">
          <cell r="AA28">
            <v>7200</v>
          </cell>
          <cell r="AB28">
            <v>185</v>
          </cell>
          <cell r="AG28">
            <v>13660</v>
          </cell>
          <cell r="AH28">
            <v>390</v>
          </cell>
        </row>
        <row r="29">
          <cell r="AA29">
            <v>7385</v>
          </cell>
          <cell r="AB29">
            <v>185</v>
          </cell>
          <cell r="AG29">
            <v>14050</v>
          </cell>
          <cell r="AH29">
            <v>390</v>
          </cell>
        </row>
        <row r="30">
          <cell r="AA30">
            <v>7570</v>
          </cell>
          <cell r="AB30">
            <v>200</v>
          </cell>
          <cell r="AG30">
            <v>14440</v>
          </cell>
          <cell r="AH30">
            <v>420</v>
          </cell>
        </row>
        <row r="31">
          <cell r="AA31">
            <v>7770</v>
          </cell>
          <cell r="AB31">
            <v>200</v>
          </cell>
          <cell r="AG31">
            <v>14860</v>
          </cell>
          <cell r="AH31">
            <v>420</v>
          </cell>
        </row>
        <row r="32">
          <cell r="AA32">
            <v>7970</v>
          </cell>
          <cell r="AB32">
            <v>200</v>
          </cell>
          <cell r="AG32">
            <v>15280</v>
          </cell>
          <cell r="AH32">
            <v>420</v>
          </cell>
        </row>
        <row r="33">
          <cell r="AA33">
            <v>8170</v>
          </cell>
          <cell r="AB33">
            <v>215</v>
          </cell>
          <cell r="AG33">
            <v>15700</v>
          </cell>
          <cell r="AH33">
            <v>450</v>
          </cell>
        </row>
        <row r="34">
          <cell r="AA34">
            <v>8385</v>
          </cell>
          <cell r="AB34">
            <v>215</v>
          </cell>
          <cell r="AG34">
            <v>16150</v>
          </cell>
          <cell r="AH34">
            <v>450</v>
          </cell>
        </row>
        <row r="35">
          <cell r="AA35">
            <v>8600</v>
          </cell>
          <cell r="AB35">
            <v>215</v>
          </cell>
          <cell r="AG35">
            <v>16600</v>
          </cell>
          <cell r="AH35">
            <v>450</v>
          </cell>
        </row>
        <row r="36">
          <cell r="AA36">
            <v>8815</v>
          </cell>
          <cell r="AB36">
            <v>235</v>
          </cell>
          <cell r="AG36">
            <v>17050</v>
          </cell>
          <cell r="AH36">
            <v>490</v>
          </cell>
        </row>
        <row r="37">
          <cell r="AA37">
            <v>9050</v>
          </cell>
          <cell r="AB37">
            <v>235</v>
          </cell>
          <cell r="AG37">
            <v>17540</v>
          </cell>
          <cell r="AH37">
            <v>490</v>
          </cell>
        </row>
        <row r="38">
          <cell r="AA38">
            <v>9285</v>
          </cell>
          <cell r="AB38">
            <v>235</v>
          </cell>
          <cell r="AG38">
            <v>18030</v>
          </cell>
          <cell r="AH38">
            <v>490</v>
          </cell>
        </row>
        <row r="39">
          <cell r="AA39">
            <v>9520</v>
          </cell>
          <cell r="AB39">
            <v>255</v>
          </cell>
          <cell r="AG39">
            <v>18520</v>
          </cell>
          <cell r="AH39">
            <v>530</v>
          </cell>
        </row>
        <row r="40">
          <cell r="AA40">
            <v>9775</v>
          </cell>
          <cell r="AB40">
            <v>255</v>
          </cell>
          <cell r="AG40">
            <v>19050</v>
          </cell>
          <cell r="AH40">
            <v>530</v>
          </cell>
        </row>
        <row r="41">
          <cell r="AA41">
            <v>10030</v>
          </cell>
          <cell r="AB41">
            <v>255</v>
          </cell>
          <cell r="AG41">
            <v>19580</v>
          </cell>
          <cell r="AH41">
            <v>530</v>
          </cell>
        </row>
        <row r="42">
          <cell r="AA42">
            <v>10285</v>
          </cell>
          <cell r="AB42">
            <v>280</v>
          </cell>
          <cell r="AG42">
            <v>20110</v>
          </cell>
          <cell r="AH42">
            <v>570</v>
          </cell>
        </row>
        <row r="43">
          <cell r="AA43">
            <v>10565</v>
          </cell>
          <cell r="AB43">
            <v>280</v>
          </cell>
          <cell r="AG43">
            <v>20680</v>
          </cell>
          <cell r="AH43">
            <v>570</v>
          </cell>
        </row>
        <row r="44">
          <cell r="AA44">
            <v>10845</v>
          </cell>
          <cell r="AB44">
            <v>280</v>
          </cell>
          <cell r="AG44">
            <v>21250</v>
          </cell>
          <cell r="AH44">
            <v>570</v>
          </cell>
        </row>
        <row r="45">
          <cell r="AA45">
            <v>11125</v>
          </cell>
          <cell r="AB45">
            <v>315</v>
          </cell>
          <cell r="AG45">
            <v>21820</v>
          </cell>
          <cell r="AH45">
            <v>610</v>
          </cell>
        </row>
        <row r="46">
          <cell r="AA46">
            <v>11440</v>
          </cell>
          <cell r="AB46">
            <v>315</v>
          </cell>
          <cell r="AG46">
            <v>22430</v>
          </cell>
          <cell r="AH46">
            <v>610</v>
          </cell>
        </row>
        <row r="47">
          <cell r="AA47">
            <v>11755</v>
          </cell>
          <cell r="AB47">
            <v>315</v>
          </cell>
          <cell r="AG47">
            <v>23040</v>
          </cell>
          <cell r="AH47">
            <v>610</v>
          </cell>
        </row>
        <row r="48">
          <cell r="AA48">
            <v>12070</v>
          </cell>
          <cell r="AB48">
            <v>315</v>
          </cell>
          <cell r="AG48">
            <v>23650</v>
          </cell>
          <cell r="AH48">
            <v>650</v>
          </cell>
        </row>
        <row r="49">
          <cell r="AA49">
            <v>12385</v>
          </cell>
          <cell r="AB49">
            <v>315</v>
          </cell>
          <cell r="AG49">
            <v>24300</v>
          </cell>
          <cell r="AH49">
            <v>650</v>
          </cell>
        </row>
        <row r="50">
          <cell r="AA50">
            <v>12700</v>
          </cell>
          <cell r="AB50">
            <v>330</v>
          </cell>
          <cell r="AG50">
            <v>24950</v>
          </cell>
          <cell r="AH50">
            <v>650</v>
          </cell>
        </row>
        <row r="51">
          <cell r="AA51">
            <v>13030</v>
          </cell>
          <cell r="AB51">
            <v>360</v>
          </cell>
          <cell r="AG51">
            <v>25600</v>
          </cell>
          <cell r="AH51">
            <v>700</v>
          </cell>
        </row>
        <row r="52">
          <cell r="AA52">
            <v>13390</v>
          </cell>
          <cell r="AB52">
            <v>360</v>
          </cell>
          <cell r="AG52">
            <v>26300</v>
          </cell>
          <cell r="AH52">
            <v>700</v>
          </cell>
        </row>
        <row r="53">
          <cell r="AA53">
            <v>13750</v>
          </cell>
          <cell r="AB53">
            <v>425</v>
          </cell>
          <cell r="AG53">
            <v>27000</v>
          </cell>
          <cell r="AH53">
            <v>700</v>
          </cell>
        </row>
        <row r="54">
          <cell r="AA54">
            <v>14175</v>
          </cell>
          <cell r="AB54">
            <v>425</v>
          </cell>
          <cell r="AG54">
            <v>27700</v>
          </cell>
          <cell r="AH54">
            <v>750</v>
          </cell>
        </row>
        <row r="55">
          <cell r="AA55">
            <v>14600</v>
          </cell>
          <cell r="AB55">
            <v>425</v>
          </cell>
          <cell r="AG55">
            <v>28450</v>
          </cell>
          <cell r="AH55">
            <v>750</v>
          </cell>
        </row>
        <row r="56">
          <cell r="AA56">
            <v>15025</v>
          </cell>
          <cell r="AB56">
            <v>475</v>
          </cell>
          <cell r="AG56">
            <v>29200</v>
          </cell>
          <cell r="AH56">
            <v>750</v>
          </cell>
        </row>
        <row r="57">
          <cell r="AA57">
            <v>15500</v>
          </cell>
          <cell r="AB57">
            <v>475</v>
          </cell>
          <cell r="AG57">
            <v>29950</v>
          </cell>
          <cell r="AH57">
            <v>800</v>
          </cell>
        </row>
        <row r="58">
          <cell r="AA58">
            <v>15975</v>
          </cell>
          <cell r="AB58">
            <v>475</v>
          </cell>
          <cell r="AG58">
            <v>30750</v>
          </cell>
          <cell r="AH58">
            <v>800</v>
          </cell>
        </row>
        <row r="59">
          <cell r="AA59">
            <v>16450</v>
          </cell>
          <cell r="AB59">
            <v>475</v>
          </cell>
          <cell r="AG59">
            <v>31550</v>
          </cell>
          <cell r="AH59">
            <v>800</v>
          </cell>
        </row>
        <row r="60">
          <cell r="AA60">
            <v>16925</v>
          </cell>
          <cell r="AB60">
            <v>550</v>
          </cell>
          <cell r="AG60">
            <v>32350</v>
          </cell>
          <cell r="AH60">
            <v>850</v>
          </cell>
        </row>
        <row r="61">
          <cell r="AA61">
            <v>17475</v>
          </cell>
          <cell r="AB61">
            <v>550</v>
          </cell>
          <cell r="AG61">
            <v>33200</v>
          </cell>
          <cell r="AH61">
            <v>850</v>
          </cell>
        </row>
        <row r="62">
          <cell r="AA62">
            <v>18025</v>
          </cell>
          <cell r="AB62">
            <v>550</v>
          </cell>
          <cell r="AG62">
            <v>34050</v>
          </cell>
          <cell r="AH62">
            <v>850</v>
          </cell>
        </row>
        <row r="63">
          <cell r="AA63">
            <v>18575</v>
          </cell>
          <cell r="AB63">
            <v>550</v>
          </cell>
          <cell r="AG63">
            <v>34900</v>
          </cell>
          <cell r="AH63">
            <v>900</v>
          </cell>
        </row>
        <row r="64">
          <cell r="AA64">
            <v>19125</v>
          </cell>
          <cell r="AB64">
            <v>550</v>
          </cell>
          <cell r="AG64">
            <v>35800</v>
          </cell>
          <cell r="AH64">
            <v>900</v>
          </cell>
        </row>
        <row r="65">
          <cell r="AA65">
            <v>19675</v>
          </cell>
          <cell r="AB65">
            <v>625</v>
          </cell>
          <cell r="AG65">
            <v>36700</v>
          </cell>
          <cell r="AH65">
            <v>900</v>
          </cell>
        </row>
        <row r="66">
          <cell r="AA66">
            <v>20300</v>
          </cell>
          <cell r="AB66">
            <v>625</v>
          </cell>
          <cell r="AG66">
            <v>37600</v>
          </cell>
          <cell r="AH66">
            <v>970</v>
          </cell>
        </row>
        <row r="67">
          <cell r="AA67">
            <v>20925</v>
          </cell>
          <cell r="AB67">
            <v>625</v>
          </cell>
          <cell r="AG67">
            <v>38570</v>
          </cell>
          <cell r="AH67">
            <v>970</v>
          </cell>
        </row>
        <row r="68">
          <cell r="AA68">
            <v>21550</v>
          </cell>
          <cell r="AB68">
            <v>625</v>
          </cell>
          <cell r="AG68">
            <v>39540</v>
          </cell>
          <cell r="AH68">
            <v>970</v>
          </cell>
        </row>
        <row r="69">
          <cell r="AA69">
            <v>22175</v>
          </cell>
          <cell r="AB69">
            <v>625</v>
          </cell>
          <cell r="AG69">
            <v>40510</v>
          </cell>
          <cell r="AH69">
            <v>1040</v>
          </cell>
        </row>
        <row r="70">
          <cell r="AA70">
            <v>22800</v>
          </cell>
          <cell r="AB70">
            <v>700</v>
          </cell>
          <cell r="AG70">
            <v>41550</v>
          </cell>
          <cell r="AH70">
            <v>1040</v>
          </cell>
        </row>
        <row r="71">
          <cell r="AA71">
            <v>23500</v>
          </cell>
          <cell r="AB71">
            <v>700</v>
          </cell>
          <cell r="AG71">
            <v>42590</v>
          </cell>
          <cell r="AH71">
            <v>1040</v>
          </cell>
        </row>
        <row r="72">
          <cell r="AA72">
            <v>24200</v>
          </cell>
          <cell r="AB72">
            <v>700</v>
          </cell>
          <cell r="AG72">
            <v>43630</v>
          </cell>
          <cell r="AH72">
            <v>1110</v>
          </cell>
        </row>
        <row r="73">
          <cell r="AA73">
            <v>24900</v>
          </cell>
          <cell r="AB73">
            <v>700</v>
          </cell>
          <cell r="AG73">
            <v>44740</v>
          </cell>
          <cell r="AH73">
            <v>1110</v>
          </cell>
        </row>
        <row r="74">
          <cell r="AA74">
            <v>25600</v>
          </cell>
          <cell r="AB74">
            <v>700</v>
          </cell>
          <cell r="AG74">
            <v>45850</v>
          </cell>
          <cell r="AH74">
            <v>1110</v>
          </cell>
        </row>
        <row r="75">
          <cell r="AA75">
            <v>26300</v>
          </cell>
          <cell r="AB75">
            <v>700</v>
          </cell>
          <cell r="AG75">
            <v>46960</v>
          </cell>
          <cell r="AH75">
            <v>1200</v>
          </cell>
        </row>
        <row r="76">
          <cell r="AA76">
            <v>27000</v>
          </cell>
          <cell r="AB76">
            <v>750</v>
          </cell>
          <cell r="AG76">
            <v>48160</v>
          </cell>
          <cell r="AH76">
            <v>1200</v>
          </cell>
        </row>
        <row r="77">
          <cell r="AA77">
            <v>27750</v>
          </cell>
          <cell r="AB77">
            <v>750</v>
          </cell>
          <cell r="AG77">
            <v>49360</v>
          </cell>
          <cell r="AH77">
            <v>1200</v>
          </cell>
        </row>
        <row r="78">
          <cell r="AA78">
            <v>28500</v>
          </cell>
          <cell r="AB78">
            <v>750</v>
          </cell>
          <cell r="AG78">
            <v>50560</v>
          </cell>
          <cell r="AH78">
            <v>1200</v>
          </cell>
        </row>
        <row r="79">
          <cell r="AA79">
            <v>29250</v>
          </cell>
          <cell r="AB79">
            <v>750</v>
          </cell>
          <cell r="AG79">
            <v>51760</v>
          </cell>
          <cell r="AH79">
            <v>1300</v>
          </cell>
        </row>
        <row r="80">
          <cell r="AA80">
            <v>30000</v>
          </cell>
          <cell r="AB80">
            <v>765</v>
          </cell>
          <cell r="AG80">
            <v>53060</v>
          </cell>
          <cell r="AH80">
            <v>1300</v>
          </cell>
        </row>
        <row r="81">
          <cell r="AA81">
            <v>30765</v>
          </cell>
          <cell r="AG81">
            <v>54360</v>
          </cell>
          <cell r="AH81">
            <v>1300</v>
          </cell>
        </row>
        <row r="82">
          <cell r="AG82">
            <v>55660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Sheet5"/>
      <sheetName val="Sheet4"/>
      <sheetName val="WORK SHEET"/>
      <sheetName val="Sheet1"/>
      <sheetName val="PROC"/>
      <sheetName val="P. TOKEN"/>
      <sheetName val="ANNEX-I &amp; II"/>
      <sheetName val="101"/>
      <sheetName val="PROCEEDINGS"/>
      <sheetName val="47-FRONT"/>
      <sheetName val="Sheet3"/>
      <sheetName val="BILL-NOTIONAL"/>
      <sheetName val="BILL-P.F &amp; CASH"/>
      <sheetName val="BILL"/>
      <sheetName val="47-BUDGET"/>
      <sheetName val="P.F SCHEDULE"/>
      <sheetName val="PT SHEDULE"/>
      <sheetName val="49-(1P)"/>
      <sheetName val="49-(2P)"/>
      <sheetName val="PREAMBLE"/>
    </sheetNames>
    <sheetDataSet>
      <sheetData sheetId="3">
        <row r="28">
          <cell r="E28">
            <v>40186</v>
          </cell>
        </row>
        <row r="29">
          <cell r="E29">
            <v>10</v>
          </cell>
        </row>
        <row r="30">
          <cell r="E30">
            <v>12.5</v>
          </cell>
        </row>
        <row r="89">
          <cell r="R89">
            <v>50</v>
          </cell>
        </row>
        <row r="90">
          <cell r="R90">
            <v>60</v>
          </cell>
        </row>
        <row r="91">
          <cell r="R91">
            <v>70</v>
          </cell>
        </row>
        <row r="92">
          <cell r="R92">
            <v>80</v>
          </cell>
        </row>
        <row r="117">
          <cell r="E117">
            <v>2</v>
          </cell>
        </row>
        <row r="118">
          <cell r="E118">
            <v>1</v>
          </cell>
        </row>
        <row r="121">
          <cell r="H121">
            <v>3</v>
          </cell>
        </row>
        <row r="125">
          <cell r="E125">
            <v>40390</v>
          </cell>
        </row>
        <row r="126">
          <cell r="E126">
            <v>40015.01</v>
          </cell>
        </row>
        <row r="127">
          <cell r="E127">
            <v>37288.01</v>
          </cell>
          <cell r="Q127">
            <v>1</v>
          </cell>
        </row>
        <row r="128">
          <cell r="E128">
            <v>39846.01</v>
          </cell>
        </row>
      </sheetData>
      <sheetData sheetId="4">
        <row r="316">
          <cell r="U316">
            <v>6505</v>
          </cell>
        </row>
        <row r="317">
          <cell r="U317">
            <v>6505</v>
          </cell>
        </row>
        <row r="318">
          <cell r="U318">
            <v>6505</v>
          </cell>
        </row>
        <row r="319">
          <cell r="U319">
            <v>6505</v>
          </cell>
        </row>
        <row r="320">
          <cell r="U320">
            <v>0</v>
          </cell>
        </row>
        <row r="321">
          <cell r="U321">
            <v>8813</v>
          </cell>
        </row>
        <row r="322">
          <cell r="U322">
            <v>6505</v>
          </cell>
        </row>
        <row r="323">
          <cell r="U323">
            <v>6505</v>
          </cell>
        </row>
        <row r="324">
          <cell r="U324">
            <v>6505</v>
          </cell>
        </row>
        <row r="325">
          <cell r="U325">
            <v>6505</v>
          </cell>
        </row>
        <row r="326">
          <cell r="U326">
            <v>6505</v>
          </cell>
        </row>
        <row r="327">
          <cell r="U327">
            <v>6675</v>
          </cell>
        </row>
        <row r="328">
          <cell r="U328">
            <v>6675</v>
          </cell>
        </row>
        <row r="329">
          <cell r="U329">
            <v>6675</v>
          </cell>
        </row>
        <row r="330">
          <cell r="U330">
            <v>6675</v>
          </cell>
        </row>
        <row r="331">
          <cell r="U331">
            <v>6675</v>
          </cell>
        </row>
        <row r="332">
          <cell r="U332">
            <v>6675</v>
          </cell>
        </row>
        <row r="333">
          <cell r="U333">
            <v>0</v>
          </cell>
        </row>
        <row r="334">
          <cell r="U334">
            <v>0</v>
          </cell>
        </row>
        <row r="335">
          <cell r="U335">
            <v>0</v>
          </cell>
        </row>
      </sheetData>
      <sheetData sheetId="6">
        <row r="7">
          <cell r="B7" t="str">
            <v>02022202142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ORK SHEET"/>
      <sheetName val="PAPER"/>
      <sheetName val="101"/>
      <sheetName val="47-FRONT"/>
      <sheetName val="BILL"/>
      <sheetName val="47-BACK"/>
      <sheetName val="A.N-I"/>
      <sheetName val="A.N-II"/>
      <sheetName val="A.N-III"/>
      <sheetName val="A.P.G.L.I"/>
      <sheetName val="A.N-A"/>
      <sheetName val="G.I.S"/>
      <sheetName val="P.T."/>
      <sheetName val="Z.P.P.F"/>
      <sheetName val="FESTI.ADVN."/>
      <sheetName val="EWF"/>
      <sheetName val="CMRF"/>
      <sheetName val="INCRE-NOV"/>
      <sheetName val="49-NOV"/>
      <sheetName val="INCRE-JAN"/>
      <sheetName val="49-JAN"/>
      <sheetName val="INCRE-JULY"/>
      <sheetName val="49-JULY"/>
      <sheetName val="INCRE-AUG"/>
      <sheetName val="49-AUG"/>
      <sheetName val="47-FRO(DA-1)"/>
      <sheetName val="D.A.ARREAR-JULY"/>
      <sheetName val="47-BACK(DA-1)"/>
      <sheetName val="ZPPF(D.A-1)"/>
      <sheetName val="47-FRO(D.A-2)"/>
      <sheetName val="D.A.ARREAR-JAN"/>
      <sheetName val="47-BACK(D.A-2)"/>
      <sheetName val="ZPPF(D.A-2)"/>
      <sheetName val="SALARY CERT."/>
      <sheetName val="G&amp;N"/>
    </sheetNames>
    <sheetDataSet>
      <sheetData sheetId="4">
        <row r="71">
          <cell r="AE71"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I424"/>
  <sheetViews>
    <sheetView zoomScalePageLayoutView="0" workbookViewId="0" topLeftCell="A368">
      <selection activeCell="E423" sqref="E423"/>
    </sheetView>
  </sheetViews>
  <sheetFormatPr defaultColWidth="9.140625" defaultRowHeight="12.75"/>
  <cols>
    <col min="1" max="1" width="26.8515625" style="394" customWidth="1"/>
    <col min="2" max="2" width="11.8515625" style="394" bestFit="1" customWidth="1"/>
    <col min="3" max="3" width="14.57421875" style="394" customWidth="1"/>
    <col min="4" max="4" width="12.00390625" style="394" customWidth="1"/>
    <col min="5" max="5" width="11.140625" style="394" customWidth="1"/>
    <col min="6" max="6" width="11.421875" style="394" customWidth="1"/>
    <col min="7" max="7" width="10.140625" style="394" customWidth="1"/>
    <col min="8" max="8" width="13.28125" style="394" customWidth="1"/>
    <col min="9" max="9" width="11.7109375" style="394" customWidth="1"/>
    <col min="10" max="10" width="8.421875" style="394" customWidth="1"/>
    <col min="11" max="12" width="10.140625" style="394" customWidth="1"/>
    <col min="13" max="13" width="13.7109375" style="394" customWidth="1"/>
    <col min="14" max="14" width="13.28125" style="394" customWidth="1"/>
    <col min="15" max="15" width="7.8515625" style="394" customWidth="1"/>
    <col min="16" max="26" width="10.140625" style="394" customWidth="1"/>
    <col min="27" max="27" width="9.28125" style="394" bestFit="1" customWidth="1"/>
    <col min="28" max="29" width="9.140625" style="394" customWidth="1"/>
    <col min="30" max="30" width="9.28125" style="394" bestFit="1" customWidth="1"/>
    <col min="31" max="34" width="10.140625" style="394" customWidth="1"/>
    <col min="35" max="35" width="9.7109375" style="394" bestFit="1" customWidth="1"/>
  </cols>
  <sheetData>
    <row r="1" ht="12.75">
      <c r="A1" s="394" t="s">
        <v>351</v>
      </c>
    </row>
    <row r="2" spans="1:5" ht="12.75">
      <c r="A2" s="394" t="s">
        <v>352</v>
      </c>
      <c r="B2" s="394" t="s">
        <v>353</v>
      </c>
      <c r="D2" s="394" t="s">
        <v>14</v>
      </c>
      <c r="E2" s="394" t="s">
        <v>411</v>
      </c>
    </row>
    <row r="3" spans="2:5" ht="12.75">
      <c r="B3" s="394" t="s">
        <v>354</v>
      </c>
      <c r="D3" s="394" t="s">
        <v>14</v>
      </c>
      <c r="E3" s="394" t="s">
        <v>412</v>
      </c>
    </row>
    <row r="4" spans="2:5" ht="12.75">
      <c r="B4" s="394" t="s">
        <v>356</v>
      </c>
      <c r="D4" s="394" t="s">
        <v>14</v>
      </c>
      <c r="E4" s="394" t="s">
        <v>413</v>
      </c>
    </row>
    <row r="5" spans="2:5" ht="12.75">
      <c r="B5" s="394" t="s">
        <v>358</v>
      </c>
      <c r="D5" s="394" t="s">
        <v>14</v>
      </c>
      <c r="E5" s="394" t="s">
        <v>414</v>
      </c>
    </row>
    <row r="6" spans="2:5" ht="12.75">
      <c r="B6" s="394" t="s">
        <v>359</v>
      </c>
      <c r="D6" s="394" t="s">
        <v>14</v>
      </c>
      <c r="E6" s="394" t="s">
        <v>415</v>
      </c>
    </row>
    <row r="7" spans="2:5" ht="12.75">
      <c r="B7" s="394" t="s">
        <v>360</v>
      </c>
      <c r="D7" s="394" t="s">
        <v>14</v>
      </c>
      <c r="E7" s="394">
        <v>718545</v>
      </c>
    </row>
    <row r="8" spans="2:5" ht="12.75">
      <c r="B8" s="394" t="s">
        <v>361</v>
      </c>
      <c r="D8" s="394" t="s">
        <v>14</v>
      </c>
      <c r="E8" s="394">
        <v>11389133163</v>
      </c>
    </row>
    <row r="9" spans="2:5" ht="12.75">
      <c r="B9" s="394" t="s">
        <v>362</v>
      </c>
      <c r="D9" s="394" t="s">
        <v>14</v>
      </c>
      <c r="E9" s="394" t="s">
        <v>363</v>
      </c>
    </row>
    <row r="10" spans="2:5" ht="12.75">
      <c r="B10" s="394" t="s">
        <v>364</v>
      </c>
      <c r="E10" s="394">
        <v>14656</v>
      </c>
    </row>
    <row r="11" spans="2:5" ht="12.75">
      <c r="B11" s="394" t="s">
        <v>365</v>
      </c>
      <c r="D11" s="394" t="s">
        <v>14</v>
      </c>
      <c r="E11" s="394" t="s">
        <v>416</v>
      </c>
    </row>
    <row r="12" spans="2:5" ht="12.75">
      <c r="B12" s="394" t="s">
        <v>366</v>
      </c>
      <c r="D12" s="394" t="s">
        <v>367</v>
      </c>
      <c r="E12" s="394">
        <v>125</v>
      </c>
    </row>
    <row r="13" spans="2:5" ht="12.75">
      <c r="B13" s="394" t="s">
        <v>417</v>
      </c>
      <c r="E13" s="394" t="s">
        <v>418</v>
      </c>
    </row>
    <row r="14" spans="1:5" ht="12.75">
      <c r="A14" s="394" t="s">
        <v>368</v>
      </c>
      <c r="B14" s="394" t="s">
        <v>369</v>
      </c>
      <c r="D14" s="394" t="s">
        <v>14</v>
      </c>
      <c r="E14" s="394" t="s">
        <v>419</v>
      </c>
    </row>
    <row r="15" spans="2:5" ht="12.75">
      <c r="B15" s="394" t="s">
        <v>370</v>
      </c>
      <c r="D15" s="394" t="s">
        <v>14</v>
      </c>
      <c r="E15" s="414">
        <v>40316</v>
      </c>
    </row>
    <row r="16" spans="2:5" ht="12.75">
      <c r="B16" s="394" t="s">
        <v>420</v>
      </c>
      <c r="D16" s="394" t="s">
        <v>14</v>
      </c>
      <c r="E16" s="414">
        <v>40313</v>
      </c>
    </row>
    <row r="17" spans="2:5" ht="12.75">
      <c r="B17" s="394" t="s">
        <v>421</v>
      </c>
      <c r="D17" s="394" t="s">
        <v>14</v>
      </c>
      <c r="E17" s="394" t="s">
        <v>422</v>
      </c>
    </row>
    <row r="18" spans="2:5" ht="12.75">
      <c r="B18" s="394" t="s">
        <v>372</v>
      </c>
      <c r="D18" s="394" t="s">
        <v>14</v>
      </c>
      <c r="E18" s="394">
        <v>7020308012</v>
      </c>
    </row>
    <row r="19" spans="2:5" ht="12.75">
      <c r="B19" s="394" t="s">
        <v>373</v>
      </c>
      <c r="D19" s="394" t="s">
        <v>14</v>
      </c>
      <c r="E19" s="394" t="s">
        <v>423</v>
      </c>
    </row>
    <row r="20" spans="2:5" ht="12.75">
      <c r="B20" s="394" t="s">
        <v>374</v>
      </c>
      <c r="D20" s="394" t="s">
        <v>14</v>
      </c>
      <c r="E20" s="394">
        <v>751</v>
      </c>
    </row>
    <row r="21" spans="2:5" ht="12.75">
      <c r="B21" s="394" t="s">
        <v>375</v>
      </c>
      <c r="D21" s="394" t="s">
        <v>14</v>
      </c>
      <c r="E21" s="394" t="s">
        <v>424</v>
      </c>
    </row>
    <row r="22" spans="2:5" ht="12.75">
      <c r="B22" s="394" t="s">
        <v>376</v>
      </c>
      <c r="D22" s="394" t="s">
        <v>14</v>
      </c>
      <c r="E22" s="394" t="s">
        <v>425</v>
      </c>
    </row>
    <row r="23" spans="2:5" ht="12.75">
      <c r="B23" s="394" t="s">
        <v>377</v>
      </c>
      <c r="D23" s="394" t="s">
        <v>14</v>
      </c>
      <c r="E23" s="394" t="s">
        <v>426</v>
      </c>
    </row>
    <row r="24" spans="2:5" ht="12.75">
      <c r="B24" s="394" t="s">
        <v>378</v>
      </c>
      <c r="D24" s="394" t="s">
        <v>14</v>
      </c>
      <c r="E24" s="394" t="s">
        <v>379</v>
      </c>
    </row>
    <row r="25" spans="3:5" ht="12.75">
      <c r="C25" s="394" t="s">
        <v>380</v>
      </c>
      <c r="D25" s="394" t="s">
        <v>14</v>
      </c>
      <c r="E25" s="394" t="s">
        <v>427</v>
      </c>
    </row>
    <row r="26" spans="1:7" ht="12.75">
      <c r="A26" s="394" t="s">
        <v>428</v>
      </c>
      <c r="B26" s="394" t="s">
        <v>429</v>
      </c>
      <c r="D26" s="394" t="s">
        <v>14</v>
      </c>
      <c r="E26" s="394">
        <v>1</v>
      </c>
      <c r="F26" s="394" t="s">
        <v>382</v>
      </c>
      <c r="G26" s="394">
        <v>2008</v>
      </c>
    </row>
    <row r="27" spans="2:7" ht="12.75">
      <c r="B27" s="394" t="s">
        <v>430</v>
      </c>
      <c r="D27" s="394" t="s">
        <v>14</v>
      </c>
      <c r="E27" s="394">
        <v>31</v>
      </c>
      <c r="F27" s="394" t="s">
        <v>431</v>
      </c>
      <c r="G27" s="394">
        <v>2010</v>
      </c>
    </row>
    <row r="28" spans="2:5" ht="12.75">
      <c r="B28" s="394" t="s">
        <v>432</v>
      </c>
      <c r="D28" s="394" t="s">
        <v>14</v>
      </c>
      <c r="E28" s="394" t="s">
        <v>433</v>
      </c>
    </row>
    <row r="29" spans="2:5" ht="12.75">
      <c r="B29" s="394" t="s">
        <v>434</v>
      </c>
      <c r="D29" s="394" t="s">
        <v>14</v>
      </c>
      <c r="E29" s="394" t="s">
        <v>435</v>
      </c>
    </row>
    <row r="30" spans="2:5" ht="12.75">
      <c r="B30" s="394" t="s">
        <v>436</v>
      </c>
      <c r="D30" s="394" t="s">
        <v>14</v>
      </c>
      <c r="E30" s="394" t="s">
        <v>437</v>
      </c>
    </row>
    <row r="31" spans="2:5" ht="12.75">
      <c r="B31" s="394" t="s">
        <v>438</v>
      </c>
      <c r="D31" s="394" t="s">
        <v>14</v>
      </c>
      <c r="E31" s="394" t="s">
        <v>439</v>
      </c>
    </row>
    <row r="32" spans="2:5" ht="12.75">
      <c r="B32" s="394" t="s">
        <v>440</v>
      </c>
      <c r="D32" s="394" t="s">
        <v>367</v>
      </c>
      <c r="E32" s="394">
        <v>9520</v>
      </c>
    </row>
    <row r="33" spans="2:5" ht="12.75">
      <c r="B33" s="394" t="s">
        <v>441</v>
      </c>
      <c r="D33" s="394" t="s">
        <v>367</v>
      </c>
      <c r="E33" s="394">
        <v>0</v>
      </c>
    </row>
    <row r="34" spans="2:5" ht="12.75">
      <c r="B34" s="394" t="s">
        <v>117</v>
      </c>
      <c r="D34" s="394" t="s">
        <v>367</v>
      </c>
      <c r="E34" s="394">
        <v>0</v>
      </c>
    </row>
    <row r="35" spans="2:5" ht="12.75">
      <c r="B35" s="394" t="s">
        <v>442</v>
      </c>
      <c r="D35" s="394" t="s">
        <v>367</v>
      </c>
      <c r="E35" s="394" t="s">
        <v>443</v>
      </c>
    </row>
    <row r="36" spans="2:5" ht="12.75">
      <c r="B36" s="394" t="s">
        <v>444</v>
      </c>
      <c r="D36" s="394" t="s">
        <v>14</v>
      </c>
      <c r="E36" s="394">
        <v>10</v>
      </c>
    </row>
    <row r="37" spans="2:5" ht="12.75">
      <c r="B37" s="394" t="s">
        <v>445</v>
      </c>
      <c r="D37" s="394" t="s">
        <v>14</v>
      </c>
      <c r="E37" s="394">
        <v>10</v>
      </c>
    </row>
    <row r="38" spans="3:7" ht="12.75">
      <c r="C38" s="394" t="s">
        <v>446</v>
      </c>
      <c r="D38" s="394" t="s">
        <v>14</v>
      </c>
      <c r="E38" s="394">
        <v>19</v>
      </c>
      <c r="F38" s="394" t="s">
        <v>388</v>
      </c>
      <c r="G38" s="394">
        <v>2009</v>
      </c>
    </row>
    <row r="39" spans="2:5" ht="12.75">
      <c r="B39" s="394" t="s">
        <v>447</v>
      </c>
      <c r="D39" s="394" t="s">
        <v>14</v>
      </c>
      <c r="E39" s="394" t="s">
        <v>448</v>
      </c>
    </row>
    <row r="40" spans="2:7" ht="12.75">
      <c r="B40" s="394" t="s">
        <v>449</v>
      </c>
      <c r="D40" s="394" t="s">
        <v>14</v>
      </c>
      <c r="E40" s="394">
        <v>6</v>
      </c>
      <c r="F40" s="394" t="s">
        <v>388</v>
      </c>
      <c r="G40" s="394">
        <v>1982</v>
      </c>
    </row>
    <row r="41" spans="2:5" ht="12.75">
      <c r="B41" s="394" t="s">
        <v>450</v>
      </c>
      <c r="D41" s="394" t="s">
        <v>14</v>
      </c>
      <c r="E41" s="394" t="s">
        <v>379</v>
      </c>
    </row>
    <row r="42" spans="3:5" ht="12.75">
      <c r="C42" s="394" t="s">
        <v>451</v>
      </c>
      <c r="D42" s="394" t="s">
        <v>14</v>
      </c>
      <c r="E42" s="394" t="s">
        <v>386</v>
      </c>
    </row>
    <row r="43" spans="3:7" ht="12.75">
      <c r="C43" s="394" t="s">
        <v>387</v>
      </c>
      <c r="D43" s="394" t="s">
        <v>14</v>
      </c>
      <c r="E43" s="394">
        <v>31</v>
      </c>
      <c r="F43" s="394" t="s">
        <v>184</v>
      </c>
      <c r="G43" s="394">
        <v>2009</v>
      </c>
    </row>
    <row r="44" spans="3:5" ht="12.75">
      <c r="C44" s="394" t="s">
        <v>452</v>
      </c>
      <c r="D44" s="394" t="s">
        <v>14</v>
      </c>
      <c r="E44" s="394" t="s">
        <v>453</v>
      </c>
    </row>
    <row r="45" spans="3:5" ht="12.75">
      <c r="C45" s="394" t="s">
        <v>454</v>
      </c>
      <c r="D45" s="394" t="s">
        <v>367</v>
      </c>
      <c r="E45" s="394" t="s">
        <v>443</v>
      </c>
    </row>
    <row r="46" spans="2:5" ht="12.75">
      <c r="B46" s="394" t="s">
        <v>389</v>
      </c>
      <c r="D46" s="394" t="s">
        <v>14</v>
      </c>
      <c r="E46" s="394" t="s">
        <v>390</v>
      </c>
    </row>
    <row r="47" spans="2:5" ht="12.75">
      <c r="B47" s="394" t="s">
        <v>391</v>
      </c>
      <c r="E47" s="394" t="s">
        <v>390</v>
      </c>
    </row>
    <row r="48" spans="2:5" ht="12.75">
      <c r="B48" s="394" t="s">
        <v>392</v>
      </c>
      <c r="E48" s="394" t="s">
        <v>390</v>
      </c>
    </row>
    <row r="49" spans="2:5" ht="12.75">
      <c r="B49" s="394" t="s">
        <v>455</v>
      </c>
      <c r="D49" s="394" t="s">
        <v>14</v>
      </c>
      <c r="E49" s="394" t="s">
        <v>379</v>
      </c>
    </row>
    <row r="50" spans="3:5" ht="12.75">
      <c r="C50" s="394" t="s">
        <v>456</v>
      </c>
      <c r="D50" s="394" t="s">
        <v>14</v>
      </c>
      <c r="E50" s="394">
        <v>10565</v>
      </c>
    </row>
    <row r="51" spans="2:6" ht="12.75">
      <c r="B51" s="394" t="s">
        <v>457</v>
      </c>
      <c r="D51" s="394" t="s">
        <v>14</v>
      </c>
      <c r="E51" s="394">
        <v>93</v>
      </c>
      <c r="F51" s="415">
        <v>40271</v>
      </c>
    </row>
    <row r="52" spans="2:6" ht="12.75">
      <c r="B52" s="394" t="s">
        <v>458</v>
      </c>
      <c r="D52" s="394" t="s">
        <v>14</v>
      </c>
      <c r="E52" s="394">
        <v>105</v>
      </c>
      <c r="F52" s="415">
        <v>40261</v>
      </c>
    </row>
    <row r="55" spans="1:35" ht="20.25">
      <c r="A55" s="382" t="s">
        <v>459</v>
      </c>
      <c r="B55" s="382">
        <f>'[3]WORK SHEET'!Q127</f>
        <v>1</v>
      </c>
      <c r="C55" s="382" t="s">
        <v>460</v>
      </c>
      <c r="D55" s="382"/>
      <c r="E55" s="416">
        <v>1</v>
      </c>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row>
    <row r="56" spans="1:35" ht="12.75">
      <c r="A56" s="382" t="s">
        <v>461</v>
      </c>
      <c r="B56" s="417">
        <f>'[3]WORK SHEET'!E127</f>
        <v>37288.01</v>
      </c>
      <c r="C56" s="417"/>
      <c r="D56" s="417">
        <f>DATE(YEAR(B56)+2,MONTH(B56),DAY(B56))</f>
        <v>38018</v>
      </c>
      <c r="E56" s="417"/>
      <c r="F56" s="417"/>
      <c r="G56" s="417"/>
      <c r="H56" s="417"/>
      <c r="I56" s="417"/>
      <c r="J56" s="417"/>
      <c r="K56" s="417"/>
      <c r="L56" s="417"/>
      <c r="M56" s="417"/>
      <c r="N56" s="417"/>
      <c r="O56" s="417"/>
      <c r="P56" s="417"/>
      <c r="Q56" s="417"/>
      <c r="R56" s="417"/>
      <c r="S56" s="417"/>
      <c r="T56" s="417"/>
      <c r="U56" s="417"/>
      <c r="V56" s="417"/>
      <c r="W56" s="417"/>
      <c r="X56" s="417"/>
      <c r="Y56" s="417"/>
      <c r="Z56" s="417"/>
      <c r="AA56" s="382"/>
      <c r="AB56" s="382"/>
      <c r="AC56" s="382"/>
      <c r="AD56" s="382"/>
      <c r="AE56" s="382"/>
      <c r="AF56" s="382"/>
      <c r="AG56" s="382"/>
      <c r="AH56" s="382"/>
      <c r="AI56" s="382"/>
    </row>
    <row r="57" spans="1:35" ht="12.75">
      <c r="A57" s="382" t="s">
        <v>462</v>
      </c>
      <c r="B57" s="382">
        <f>'[3]WORK SHEET'!E117</f>
        <v>2</v>
      </c>
      <c r="C57" s="382" t="s">
        <v>463</v>
      </c>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row>
    <row r="58" spans="1:35" ht="12.75">
      <c r="A58" s="382" t="s">
        <v>464</v>
      </c>
      <c r="B58" s="417">
        <f>'[3]WORK SHEET'!E128</f>
        <v>39846.01</v>
      </c>
      <c r="C58" s="417"/>
      <c r="D58" s="417"/>
      <c r="E58" s="382"/>
      <c r="F58" s="417"/>
      <c r="G58" s="417"/>
      <c r="H58" s="417"/>
      <c r="I58" s="417"/>
      <c r="J58" s="417"/>
      <c r="K58" s="417"/>
      <c r="L58" s="417"/>
      <c r="M58" s="417"/>
      <c r="N58" s="417"/>
      <c r="O58" s="417"/>
      <c r="P58" s="417"/>
      <c r="Q58" s="417"/>
      <c r="R58" s="417"/>
      <c r="S58" s="417"/>
      <c r="T58" s="417"/>
      <c r="U58" s="417"/>
      <c r="V58" s="417"/>
      <c r="W58" s="417"/>
      <c r="X58" s="417"/>
      <c r="Y58" s="417"/>
      <c r="Z58" s="417"/>
      <c r="AA58" s="382"/>
      <c r="AB58" s="382"/>
      <c r="AC58" s="382"/>
      <c r="AD58" s="382"/>
      <c r="AE58" s="382"/>
      <c r="AF58" s="382"/>
      <c r="AG58" s="382"/>
      <c r="AH58" s="382"/>
      <c r="AI58" s="382"/>
    </row>
    <row r="59" spans="1:35" ht="12.75">
      <c r="A59" s="382" t="s">
        <v>465</v>
      </c>
      <c r="B59" s="418">
        <f>3-'[3]WORK SHEET'!E118</f>
        <v>2</v>
      </c>
      <c r="C59" s="418" t="s">
        <v>466</v>
      </c>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382"/>
      <c r="AB59" s="382"/>
      <c r="AC59" s="382"/>
      <c r="AD59" s="382"/>
      <c r="AE59" s="382"/>
      <c r="AF59" s="382"/>
      <c r="AG59" s="382"/>
      <c r="AH59" s="382"/>
      <c r="AI59" s="382"/>
    </row>
    <row r="60" spans="1:35" ht="12.75">
      <c r="A60" s="382" t="s">
        <v>467</v>
      </c>
      <c r="B60" s="417">
        <f>'[3]WORK SHEET'!E125</f>
        <v>40390</v>
      </c>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382"/>
      <c r="AB60" s="382"/>
      <c r="AC60" s="382"/>
      <c r="AD60" s="382"/>
      <c r="AE60" s="382"/>
      <c r="AF60" s="382"/>
      <c r="AG60" s="382"/>
      <c r="AH60" s="382"/>
      <c r="AI60" s="382"/>
    </row>
    <row r="61" spans="1:35" ht="12.75">
      <c r="A61" s="382" t="s">
        <v>468</v>
      </c>
      <c r="B61" s="417">
        <v>35977</v>
      </c>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382"/>
      <c r="AB61" s="382"/>
      <c r="AC61" s="382"/>
      <c r="AD61" s="382"/>
      <c r="AE61" s="382"/>
      <c r="AF61" s="382"/>
      <c r="AG61" s="382"/>
      <c r="AH61" s="382"/>
      <c r="AI61" s="382"/>
    </row>
    <row r="62" spans="1:35" ht="12.75">
      <c r="A62" s="382" t="s">
        <v>469</v>
      </c>
      <c r="B62" s="417">
        <v>37803</v>
      </c>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row>
    <row r="63" spans="1:35" ht="12.75">
      <c r="A63"/>
      <c r="B63"/>
      <c r="C63"/>
      <c r="D63"/>
      <c r="E63"/>
      <c r="F63"/>
      <c r="G63"/>
      <c r="H63"/>
      <c r="I63"/>
      <c r="J63"/>
      <c r="K63"/>
      <c r="L63"/>
      <c r="M63"/>
      <c r="N63"/>
      <c r="O63"/>
      <c r="P63"/>
      <c r="Q63"/>
      <c r="R63"/>
      <c r="S63"/>
      <c r="T63"/>
      <c r="U63"/>
      <c r="V63"/>
      <c r="W63"/>
      <c r="X63"/>
      <c r="Y63"/>
      <c r="Z63"/>
      <c r="AA63"/>
      <c r="AB63"/>
      <c r="AC63"/>
      <c r="AD63"/>
      <c r="AE63"/>
      <c r="AF63"/>
      <c r="AG63"/>
      <c r="AH63"/>
      <c r="AI63"/>
    </row>
    <row r="64" spans="1:35" ht="12.75">
      <c r="A64" s="382" t="s">
        <v>470</v>
      </c>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row>
    <row r="65" spans="1:35" ht="12.75">
      <c r="A65" s="382"/>
      <c r="B65" s="382"/>
      <c r="C65" s="382"/>
      <c r="D65" s="382"/>
      <c r="E65" s="382"/>
      <c r="F65" s="382">
        <v>1</v>
      </c>
      <c r="G65" s="382">
        <v>2</v>
      </c>
      <c r="H65" s="382">
        <v>3</v>
      </c>
      <c r="I65" s="382">
        <v>4</v>
      </c>
      <c r="J65" s="382">
        <v>5</v>
      </c>
      <c r="K65" s="382">
        <v>6</v>
      </c>
      <c r="L65" s="382">
        <v>7</v>
      </c>
      <c r="M65" s="382">
        <v>8</v>
      </c>
      <c r="N65" s="382">
        <v>9</v>
      </c>
      <c r="O65" s="382">
        <v>10</v>
      </c>
      <c r="P65" s="382">
        <v>11</v>
      </c>
      <c r="Q65" s="382">
        <v>12</v>
      </c>
      <c r="R65" s="382">
        <v>13</v>
      </c>
      <c r="S65" s="382">
        <v>14</v>
      </c>
      <c r="T65" s="382">
        <v>15</v>
      </c>
      <c r="U65" s="382">
        <v>16</v>
      </c>
      <c r="V65" s="382">
        <v>17</v>
      </c>
      <c r="W65" s="382">
        <v>18</v>
      </c>
      <c r="X65" s="382">
        <v>19</v>
      </c>
      <c r="Y65" s="382">
        <v>20</v>
      </c>
      <c r="Z65" s="382">
        <v>21</v>
      </c>
      <c r="AA65" s="382">
        <v>22</v>
      </c>
      <c r="AB65" s="382"/>
      <c r="AC65" s="382"/>
      <c r="AD65" s="382"/>
      <c r="AE65" s="382"/>
      <c r="AF65" s="382"/>
      <c r="AG65" s="382"/>
      <c r="AH65" s="382"/>
      <c r="AI65" s="382"/>
    </row>
    <row r="66" spans="1:35" ht="12.75">
      <c r="A66" s="382"/>
      <c r="B66" s="382">
        <f>B57</f>
        <v>2</v>
      </c>
      <c r="C66" s="382">
        <f>B59</f>
        <v>2</v>
      </c>
      <c r="D66" s="419">
        <f>IF(B57=1,B58,D56)</f>
        <v>38018</v>
      </c>
      <c r="E66" s="419">
        <f>F66</f>
        <v>0</v>
      </c>
      <c r="F66" s="420">
        <f aca="true" t="shared" si="0" ref="F66:AA66">MIN(AJ66:AJ87)</f>
        <v>0</v>
      </c>
      <c r="G66" s="420">
        <f t="shared" si="0"/>
        <v>0</v>
      </c>
      <c r="H66" s="420">
        <f t="shared" si="0"/>
        <v>0</v>
      </c>
      <c r="I66" s="420">
        <f t="shared" si="0"/>
        <v>0</v>
      </c>
      <c r="J66" s="420">
        <f t="shared" si="0"/>
        <v>0</v>
      </c>
      <c r="K66" s="420">
        <f t="shared" si="0"/>
        <v>0</v>
      </c>
      <c r="L66" s="420">
        <f t="shared" si="0"/>
        <v>0</v>
      </c>
      <c r="M66" s="420">
        <f t="shared" si="0"/>
        <v>0</v>
      </c>
      <c r="N66" s="420">
        <f t="shared" si="0"/>
        <v>0</v>
      </c>
      <c r="O66" s="420">
        <f t="shared" si="0"/>
        <v>0</v>
      </c>
      <c r="P66" s="420">
        <f t="shared" si="0"/>
        <v>0</v>
      </c>
      <c r="Q66" s="420">
        <f t="shared" si="0"/>
        <v>0</v>
      </c>
      <c r="R66" s="420">
        <f t="shared" si="0"/>
        <v>0</v>
      </c>
      <c r="S66" s="420">
        <f t="shared" si="0"/>
        <v>0</v>
      </c>
      <c r="T66" s="420">
        <f t="shared" si="0"/>
        <v>0</v>
      </c>
      <c r="U66" s="420">
        <f t="shared" si="0"/>
        <v>0</v>
      </c>
      <c r="V66" s="420">
        <f t="shared" si="0"/>
        <v>0</v>
      </c>
      <c r="W66" s="420">
        <f t="shared" si="0"/>
        <v>0</v>
      </c>
      <c r="X66" s="420">
        <f t="shared" si="0"/>
        <v>0</v>
      </c>
      <c r="Y66" s="420">
        <f t="shared" si="0"/>
        <v>0</v>
      </c>
      <c r="Z66" s="420">
        <f t="shared" si="0"/>
        <v>0</v>
      </c>
      <c r="AA66" s="420">
        <f t="shared" si="0"/>
        <v>0</v>
      </c>
      <c r="AB66" s="420"/>
      <c r="AC66" s="420"/>
      <c r="AD66" s="420">
        <f>B60+1</f>
        <v>40391</v>
      </c>
      <c r="AE66" s="420">
        <f>AF66</f>
        <v>38018</v>
      </c>
      <c r="AF66" s="420">
        <f>DATE(YEAR(B56)+2,MONTH(B56),DAY(B56))</f>
        <v>38018</v>
      </c>
      <c r="AG66" s="420">
        <f>AF66</f>
        <v>38018</v>
      </c>
      <c r="AH66" s="420">
        <f>IF(AND(YEAR(AG66)=YEAR(D66),C66=1,MONTH(D66)&lt;MONTH(AG66)),D66,AG66)</f>
        <v>38018</v>
      </c>
      <c r="AI66" s="420">
        <f>IF(AH66&lt;AE66,AE66,AH66)</f>
        <v>38018</v>
      </c>
    </row>
    <row r="67" spans="1:35" ht="12.75">
      <c r="A67" s="382"/>
      <c r="B67" s="382">
        <f>B66</f>
        <v>2</v>
      </c>
      <c r="C67" s="382">
        <f>C66</f>
        <v>2</v>
      </c>
      <c r="D67" s="419">
        <f>D66</f>
        <v>38018</v>
      </c>
      <c r="E67" s="419">
        <f>G67</f>
        <v>0</v>
      </c>
      <c r="F67" s="420">
        <f aca="true" t="shared" si="1" ref="F67:AA78">F66</f>
        <v>0</v>
      </c>
      <c r="G67" s="420">
        <f t="shared" si="1"/>
        <v>0</v>
      </c>
      <c r="H67" s="420">
        <f t="shared" si="1"/>
        <v>0</v>
      </c>
      <c r="I67" s="420">
        <f t="shared" si="1"/>
        <v>0</v>
      </c>
      <c r="J67" s="420">
        <f t="shared" si="1"/>
        <v>0</v>
      </c>
      <c r="K67" s="420">
        <f t="shared" si="1"/>
        <v>0</v>
      </c>
      <c r="L67" s="420">
        <f t="shared" si="1"/>
        <v>0</v>
      </c>
      <c r="M67" s="420">
        <f t="shared" si="1"/>
        <v>0</v>
      </c>
      <c r="N67" s="420">
        <f t="shared" si="1"/>
        <v>0</v>
      </c>
      <c r="O67" s="420">
        <f t="shared" si="1"/>
        <v>0</v>
      </c>
      <c r="P67" s="420">
        <f t="shared" si="1"/>
        <v>0</v>
      </c>
      <c r="Q67" s="420">
        <f t="shared" si="1"/>
        <v>0</v>
      </c>
      <c r="R67" s="420">
        <f t="shared" si="1"/>
        <v>0</v>
      </c>
      <c r="S67" s="420">
        <f t="shared" si="1"/>
        <v>0</v>
      </c>
      <c r="T67" s="420">
        <f t="shared" si="1"/>
        <v>0</v>
      </c>
      <c r="U67" s="420">
        <f t="shared" si="1"/>
        <v>0</v>
      </c>
      <c r="V67" s="420">
        <f t="shared" si="1"/>
        <v>0</v>
      </c>
      <c r="W67" s="420">
        <f t="shared" si="1"/>
        <v>0</v>
      </c>
      <c r="X67" s="420">
        <f t="shared" si="1"/>
        <v>0</v>
      </c>
      <c r="Y67" s="420">
        <f t="shared" si="1"/>
        <v>0</v>
      </c>
      <c r="Z67" s="420">
        <f t="shared" si="1"/>
        <v>0</v>
      </c>
      <c r="AA67" s="420">
        <f t="shared" si="1"/>
        <v>0</v>
      </c>
      <c r="AB67" s="420"/>
      <c r="AC67" s="420"/>
      <c r="AD67" s="420">
        <f>AD66</f>
        <v>40391</v>
      </c>
      <c r="AE67" s="420">
        <f>AE66</f>
        <v>38018</v>
      </c>
      <c r="AF67" s="420">
        <f>DATE(YEAR(AF66)+1,MONTH(AF66),1)</f>
        <v>38384</v>
      </c>
      <c r="AG67" s="420">
        <f>DATE(YEAR(AF67),IF(AND(AF67&gt;D67,B67=1,C67=1),MONTH(D67),MONTH(AF67)),IF(AND(YEAR(D67)=YEAR(AF67),B67=1,C67=1,MONTH(D67)&lt;MONTH(AF67)),DAY(D67),DAY(AF67)))+IF(AND(YEAR(D67)=YEAR(AF67),B67=1,C67=1),0.01,0)</f>
        <v>38384</v>
      </c>
      <c r="AH67" s="420">
        <f aca="true" t="shared" si="2" ref="AH67:AH81">IF(AND(YEAR(AG67)=YEAR(D67),C67=1,MONTH(D67)&lt;MONTH(AG67)),D67,AG67)</f>
        <v>38384</v>
      </c>
      <c r="AI67" s="420">
        <f aca="true" t="shared" si="3" ref="AI67:AI87">IF(AH67&lt;AE67,AE67,AH67)</f>
        <v>38384</v>
      </c>
    </row>
    <row r="68" spans="1:35" ht="12.75">
      <c r="A68" s="382"/>
      <c r="B68" s="382">
        <f aca="true" t="shared" si="4" ref="B68:D83">B67</f>
        <v>2</v>
      </c>
      <c r="C68" s="382">
        <f t="shared" si="4"/>
        <v>2</v>
      </c>
      <c r="D68" s="419">
        <f t="shared" si="4"/>
        <v>38018</v>
      </c>
      <c r="E68" s="419">
        <f>H68</f>
        <v>0</v>
      </c>
      <c r="F68" s="420">
        <f t="shared" si="1"/>
        <v>0</v>
      </c>
      <c r="G68" s="420">
        <f t="shared" si="1"/>
        <v>0</v>
      </c>
      <c r="H68" s="420">
        <f t="shared" si="1"/>
        <v>0</v>
      </c>
      <c r="I68" s="420">
        <f t="shared" si="1"/>
        <v>0</v>
      </c>
      <c r="J68" s="420">
        <f t="shared" si="1"/>
        <v>0</v>
      </c>
      <c r="K68" s="420">
        <f t="shared" si="1"/>
        <v>0</v>
      </c>
      <c r="L68" s="420">
        <f t="shared" si="1"/>
        <v>0</v>
      </c>
      <c r="M68" s="420">
        <f t="shared" si="1"/>
        <v>0</v>
      </c>
      <c r="N68" s="420">
        <f t="shared" si="1"/>
        <v>0</v>
      </c>
      <c r="O68" s="420">
        <f t="shared" si="1"/>
        <v>0</v>
      </c>
      <c r="P68" s="420">
        <f t="shared" si="1"/>
        <v>0</v>
      </c>
      <c r="Q68" s="420">
        <f t="shared" si="1"/>
        <v>0</v>
      </c>
      <c r="R68" s="420">
        <f t="shared" si="1"/>
        <v>0</v>
      </c>
      <c r="S68" s="420">
        <f t="shared" si="1"/>
        <v>0</v>
      </c>
      <c r="T68" s="420">
        <f t="shared" si="1"/>
        <v>0</v>
      </c>
      <c r="U68" s="420">
        <f t="shared" si="1"/>
        <v>0</v>
      </c>
      <c r="V68" s="420">
        <f t="shared" si="1"/>
        <v>0</v>
      </c>
      <c r="W68" s="420">
        <f t="shared" si="1"/>
        <v>0</v>
      </c>
      <c r="X68" s="420">
        <f t="shared" si="1"/>
        <v>0</v>
      </c>
      <c r="Y68" s="420">
        <f t="shared" si="1"/>
        <v>0</v>
      </c>
      <c r="Z68" s="420">
        <f t="shared" si="1"/>
        <v>0</v>
      </c>
      <c r="AA68" s="420">
        <f t="shared" si="1"/>
        <v>0</v>
      </c>
      <c r="AB68" s="420"/>
      <c r="AC68" s="420"/>
      <c r="AD68" s="420">
        <f aca="true" t="shared" si="5" ref="AD68:AE83">AD67</f>
        <v>40391</v>
      </c>
      <c r="AE68" s="420">
        <f t="shared" si="5"/>
        <v>38018</v>
      </c>
      <c r="AF68" s="420">
        <f aca="true" t="shared" si="6" ref="AF68:AF81">DATE(YEAR(AF67)+1,MONTH(AF67),1)</f>
        <v>38749</v>
      </c>
      <c r="AG68" s="420">
        <f aca="true" t="shared" si="7" ref="AG68:AG81">DATE(YEAR(AF68),IF(AND(AF68&gt;D68,B68=1,C68=1),MONTH(D68),MONTH(AF68)),IF(AND(YEAR(D68)=YEAR(AF68),B68=1,C68=1,MONTH(D68)&lt;MONTH(AF68)),DAY(D68),DAY(AF68)))+IF(AND(YEAR(D68)=YEAR(AF68),B68=1,C68=1),0.01,0)</f>
        <v>38749</v>
      </c>
      <c r="AH68" s="420">
        <f t="shared" si="2"/>
        <v>38749</v>
      </c>
      <c r="AI68" s="420">
        <f t="shared" si="3"/>
        <v>38749</v>
      </c>
    </row>
    <row r="69" spans="1:35" ht="12.75">
      <c r="A69" s="382"/>
      <c r="B69" s="382">
        <f t="shared" si="4"/>
        <v>2</v>
      </c>
      <c r="C69" s="382">
        <f t="shared" si="4"/>
        <v>2</v>
      </c>
      <c r="D69" s="419">
        <f t="shared" si="4"/>
        <v>38018</v>
      </c>
      <c r="E69" s="419">
        <f>I69</f>
        <v>0</v>
      </c>
      <c r="F69" s="420">
        <f t="shared" si="1"/>
        <v>0</v>
      </c>
      <c r="G69" s="420">
        <f t="shared" si="1"/>
        <v>0</v>
      </c>
      <c r="H69" s="420">
        <f t="shared" si="1"/>
        <v>0</v>
      </c>
      <c r="I69" s="420">
        <f t="shared" si="1"/>
        <v>0</v>
      </c>
      <c r="J69" s="420">
        <f t="shared" si="1"/>
        <v>0</v>
      </c>
      <c r="K69" s="420">
        <f t="shared" si="1"/>
        <v>0</v>
      </c>
      <c r="L69" s="420">
        <f t="shared" si="1"/>
        <v>0</v>
      </c>
      <c r="M69" s="420">
        <f t="shared" si="1"/>
        <v>0</v>
      </c>
      <c r="N69" s="420">
        <f t="shared" si="1"/>
        <v>0</v>
      </c>
      <c r="O69" s="420">
        <f t="shared" si="1"/>
        <v>0</v>
      </c>
      <c r="P69" s="420">
        <f t="shared" si="1"/>
        <v>0</v>
      </c>
      <c r="Q69" s="420">
        <f t="shared" si="1"/>
        <v>0</v>
      </c>
      <c r="R69" s="420">
        <f t="shared" si="1"/>
        <v>0</v>
      </c>
      <c r="S69" s="420">
        <f t="shared" si="1"/>
        <v>0</v>
      </c>
      <c r="T69" s="420">
        <f t="shared" si="1"/>
        <v>0</v>
      </c>
      <c r="U69" s="420">
        <f t="shared" si="1"/>
        <v>0</v>
      </c>
      <c r="V69" s="420">
        <f t="shared" si="1"/>
        <v>0</v>
      </c>
      <c r="W69" s="420">
        <f t="shared" si="1"/>
        <v>0</v>
      </c>
      <c r="X69" s="420">
        <f t="shared" si="1"/>
        <v>0</v>
      </c>
      <c r="Y69" s="420">
        <f t="shared" si="1"/>
        <v>0</v>
      </c>
      <c r="Z69" s="420">
        <f t="shared" si="1"/>
        <v>0</v>
      </c>
      <c r="AA69" s="420">
        <f t="shared" si="1"/>
        <v>0</v>
      </c>
      <c r="AB69" s="420"/>
      <c r="AC69" s="420"/>
      <c r="AD69" s="420">
        <f t="shared" si="5"/>
        <v>40391</v>
      </c>
      <c r="AE69" s="420">
        <f t="shared" si="5"/>
        <v>38018</v>
      </c>
      <c r="AF69" s="420">
        <f t="shared" si="6"/>
        <v>39114</v>
      </c>
      <c r="AG69" s="420">
        <f t="shared" si="7"/>
        <v>39114</v>
      </c>
      <c r="AH69" s="420">
        <f t="shared" si="2"/>
        <v>39114</v>
      </c>
      <c r="AI69" s="420">
        <f t="shared" si="3"/>
        <v>39114</v>
      </c>
    </row>
    <row r="70" spans="1:35" ht="12.75">
      <c r="A70" s="382"/>
      <c r="B70" s="382">
        <f t="shared" si="4"/>
        <v>2</v>
      </c>
      <c r="C70" s="382">
        <f t="shared" si="4"/>
        <v>2</v>
      </c>
      <c r="D70" s="419">
        <f t="shared" si="4"/>
        <v>38018</v>
      </c>
      <c r="E70" s="419">
        <f>J70</f>
        <v>0</v>
      </c>
      <c r="F70" s="420">
        <f t="shared" si="1"/>
        <v>0</v>
      </c>
      <c r="G70" s="420">
        <f t="shared" si="1"/>
        <v>0</v>
      </c>
      <c r="H70" s="420">
        <f t="shared" si="1"/>
        <v>0</v>
      </c>
      <c r="I70" s="420">
        <f t="shared" si="1"/>
        <v>0</v>
      </c>
      <c r="J70" s="420">
        <f t="shared" si="1"/>
        <v>0</v>
      </c>
      <c r="K70" s="420">
        <f t="shared" si="1"/>
        <v>0</v>
      </c>
      <c r="L70" s="420">
        <f t="shared" si="1"/>
        <v>0</v>
      </c>
      <c r="M70" s="420">
        <f t="shared" si="1"/>
        <v>0</v>
      </c>
      <c r="N70" s="420">
        <f t="shared" si="1"/>
        <v>0</v>
      </c>
      <c r="O70" s="420">
        <f t="shared" si="1"/>
        <v>0</v>
      </c>
      <c r="P70" s="420">
        <f t="shared" si="1"/>
        <v>0</v>
      </c>
      <c r="Q70" s="420">
        <f t="shared" si="1"/>
        <v>0</v>
      </c>
      <c r="R70" s="420">
        <f t="shared" si="1"/>
        <v>0</v>
      </c>
      <c r="S70" s="420">
        <f t="shared" si="1"/>
        <v>0</v>
      </c>
      <c r="T70" s="420">
        <f t="shared" si="1"/>
        <v>0</v>
      </c>
      <c r="U70" s="420">
        <f t="shared" si="1"/>
        <v>0</v>
      </c>
      <c r="V70" s="420">
        <f t="shared" si="1"/>
        <v>0</v>
      </c>
      <c r="W70" s="420">
        <f t="shared" si="1"/>
        <v>0</v>
      </c>
      <c r="X70" s="420">
        <f t="shared" si="1"/>
        <v>0</v>
      </c>
      <c r="Y70" s="420">
        <f t="shared" si="1"/>
        <v>0</v>
      </c>
      <c r="Z70" s="420">
        <f t="shared" si="1"/>
        <v>0</v>
      </c>
      <c r="AA70" s="420">
        <f t="shared" si="1"/>
        <v>0</v>
      </c>
      <c r="AB70" s="420"/>
      <c r="AC70" s="420"/>
      <c r="AD70" s="420">
        <f t="shared" si="5"/>
        <v>40391</v>
      </c>
      <c r="AE70" s="420">
        <f t="shared" si="5"/>
        <v>38018</v>
      </c>
      <c r="AF70" s="420">
        <f t="shared" si="6"/>
        <v>39479</v>
      </c>
      <c r="AG70" s="420">
        <f t="shared" si="7"/>
        <v>39479</v>
      </c>
      <c r="AH70" s="420">
        <f t="shared" si="2"/>
        <v>39479</v>
      </c>
      <c r="AI70" s="420">
        <f t="shared" si="3"/>
        <v>39479</v>
      </c>
    </row>
    <row r="71" spans="1:35" ht="12.75">
      <c r="A71" s="382"/>
      <c r="B71" s="382">
        <f t="shared" si="4"/>
        <v>2</v>
      </c>
      <c r="C71" s="382">
        <f t="shared" si="4"/>
        <v>2</v>
      </c>
      <c r="D71" s="419">
        <f t="shared" si="4"/>
        <v>38018</v>
      </c>
      <c r="E71" s="419">
        <f>K71</f>
        <v>0</v>
      </c>
      <c r="F71" s="420">
        <f t="shared" si="1"/>
        <v>0</v>
      </c>
      <c r="G71" s="420">
        <f t="shared" si="1"/>
        <v>0</v>
      </c>
      <c r="H71" s="420">
        <f t="shared" si="1"/>
        <v>0</v>
      </c>
      <c r="I71" s="420">
        <f t="shared" si="1"/>
        <v>0</v>
      </c>
      <c r="J71" s="420">
        <f t="shared" si="1"/>
        <v>0</v>
      </c>
      <c r="K71" s="420">
        <f t="shared" si="1"/>
        <v>0</v>
      </c>
      <c r="L71" s="420">
        <f t="shared" si="1"/>
        <v>0</v>
      </c>
      <c r="M71" s="420">
        <f t="shared" si="1"/>
        <v>0</v>
      </c>
      <c r="N71" s="420">
        <f t="shared" si="1"/>
        <v>0</v>
      </c>
      <c r="O71" s="420">
        <f t="shared" si="1"/>
        <v>0</v>
      </c>
      <c r="P71" s="420">
        <f t="shared" si="1"/>
        <v>0</v>
      </c>
      <c r="Q71" s="420">
        <f t="shared" si="1"/>
        <v>0</v>
      </c>
      <c r="R71" s="420">
        <f t="shared" si="1"/>
        <v>0</v>
      </c>
      <c r="S71" s="420">
        <f t="shared" si="1"/>
        <v>0</v>
      </c>
      <c r="T71" s="420">
        <f t="shared" si="1"/>
        <v>0</v>
      </c>
      <c r="U71" s="420">
        <f t="shared" si="1"/>
        <v>0</v>
      </c>
      <c r="V71" s="420">
        <f t="shared" si="1"/>
        <v>0</v>
      </c>
      <c r="W71" s="420">
        <f t="shared" si="1"/>
        <v>0</v>
      </c>
      <c r="X71" s="420">
        <f t="shared" si="1"/>
        <v>0</v>
      </c>
      <c r="Y71" s="420">
        <f t="shared" si="1"/>
        <v>0</v>
      </c>
      <c r="Z71" s="420">
        <f t="shared" si="1"/>
        <v>0</v>
      </c>
      <c r="AA71" s="420">
        <f t="shared" si="1"/>
        <v>0</v>
      </c>
      <c r="AB71" s="420"/>
      <c r="AC71" s="420"/>
      <c r="AD71" s="420">
        <f t="shared" si="5"/>
        <v>40391</v>
      </c>
      <c r="AE71" s="420">
        <f t="shared" si="5"/>
        <v>38018</v>
      </c>
      <c r="AF71" s="420">
        <f t="shared" si="6"/>
        <v>39845</v>
      </c>
      <c r="AG71" s="420">
        <f t="shared" si="7"/>
        <v>39845</v>
      </c>
      <c r="AH71" s="420">
        <f t="shared" si="2"/>
        <v>39845</v>
      </c>
      <c r="AI71" s="420">
        <f t="shared" si="3"/>
        <v>39845</v>
      </c>
    </row>
    <row r="72" spans="1:35" ht="12.75">
      <c r="A72" s="382"/>
      <c r="B72" s="382">
        <f t="shared" si="4"/>
        <v>2</v>
      </c>
      <c r="C72" s="382">
        <f t="shared" si="4"/>
        <v>2</v>
      </c>
      <c r="D72" s="419">
        <f t="shared" si="4"/>
        <v>38018</v>
      </c>
      <c r="E72" s="419">
        <f>L72</f>
        <v>0</v>
      </c>
      <c r="F72" s="420">
        <f t="shared" si="1"/>
        <v>0</v>
      </c>
      <c r="G72" s="420">
        <f t="shared" si="1"/>
        <v>0</v>
      </c>
      <c r="H72" s="420">
        <f t="shared" si="1"/>
        <v>0</v>
      </c>
      <c r="I72" s="420">
        <f t="shared" si="1"/>
        <v>0</v>
      </c>
      <c r="J72" s="420">
        <f t="shared" si="1"/>
        <v>0</v>
      </c>
      <c r="K72" s="420">
        <f t="shared" si="1"/>
        <v>0</v>
      </c>
      <c r="L72" s="420">
        <f t="shared" si="1"/>
        <v>0</v>
      </c>
      <c r="M72" s="420">
        <f t="shared" si="1"/>
        <v>0</v>
      </c>
      <c r="N72" s="420">
        <f t="shared" si="1"/>
        <v>0</v>
      </c>
      <c r="O72" s="420">
        <f t="shared" si="1"/>
        <v>0</v>
      </c>
      <c r="P72" s="420">
        <f t="shared" si="1"/>
        <v>0</v>
      </c>
      <c r="Q72" s="420">
        <f t="shared" si="1"/>
        <v>0</v>
      </c>
      <c r="R72" s="420">
        <f t="shared" si="1"/>
        <v>0</v>
      </c>
      <c r="S72" s="420">
        <f t="shared" si="1"/>
        <v>0</v>
      </c>
      <c r="T72" s="420">
        <f t="shared" si="1"/>
        <v>0</v>
      </c>
      <c r="U72" s="420">
        <f t="shared" si="1"/>
        <v>0</v>
      </c>
      <c r="V72" s="420">
        <f t="shared" si="1"/>
        <v>0</v>
      </c>
      <c r="W72" s="420">
        <f t="shared" si="1"/>
        <v>0</v>
      </c>
      <c r="X72" s="420">
        <f t="shared" si="1"/>
        <v>0</v>
      </c>
      <c r="Y72" s="420">
        <f t="shared" si="1"/>
        <v>0</v>
      </c>
      <c r="Z72" s="420">
        <f t="shared" si="1"/>
        <v>0</v>
      </c>
      <c r="AA72" s="420">
        <f t="shared" si="1"/>
        <v>0</v>
      </c>
      <c r="AB72" s="420"/>
      <c r="AC72" s="420"/>
      <c r="AD72" s="420">
        <f t="shared" si="5"/>
        <v>40391</v>
      </c>
      <c r="AE72" s="420">
        <f t="shared" si="5"/>
        <v>38018</v>
      </c>
      <c r="AF72" s="420">
        <f t="shared" si="6"/>
        <v>40210</v>
      </c>
      <c r="AG72" s="420">
        <f t="shared" si="7"/>
        <v>40210</v>
      </c>
      <c r="AH72" s="420">
        <f t="shared" si="2"/>
        <v>40210</v>
      </c>
      <c r="AI72" s="420">
        <f t="shared" si="3"/>
        <v>40210</v>
      </c>
    </row>
    <row r="73" spans="1:35" ht="12.75">
      <c r="A73" s="382"/>
      <c r="B73" s="382">
        <f t="shared" si="4"/>
        <v>2</v>
      </c>
      <c r="C73" s="382">
        <f t="shared" si="4"/>
        <v>2</v>
      </c>
      <c r="D73" s="419">
        <f t="shared" si="4"/>
        <v>38018</v>
      </c>
      <c r="E73" s="419">
        <f>M73</f>
        <v>0</v>
      </c>
      <c r="F73" s="420">
        <f t="shared" si="1"/>
        <v>0</v>
      </c>
      <c r="G73" s="420">
        <f t="shared" si="1"/>
        <v>0</v>
      </c>
      <c r="H73" s="420">
        <f t="shared" si="1"/>
        <v>0</v>
      </c>
      <c r="I73" s="420">
        <f t="shared" si="1"/>
        <v>0</v>
      </c>
      <c r="J73" s="420">
        <f t="shared" si="1"/>
        <v>0</v>
      </c>
      <c r="K73" s="420">
        <f t="shared" si="1"/>
        <v>0</v>
      </c>
      <c r="L73" s="420">
        <f t="shared" si="1"/>
        <v>0</v>
      </c>
      <c r="M73" s="420">
        <f t="shared" si="1"/>
        <v>0</v>
      </c>
      <c r="N73" s="420">
        <f t="shared" si="1"/>
        <v>0</v>
      </c>
      <c r="O73" s="420">
        <f t="shared" si="1"/>
        <v>0</v>
      </c>
      <c r="P73" s="420">
        <f t="shared" si="1"/>
        <v>0</v>
      </c>
      <c r="Q73" s="420">
        <f t="shared" si="1"/>
        <v>0</v>
      </c>
      <c r="R73" s="420">
        <f t="shared" si="1"/>
        <v>0</v>
      </c>
      <c r="S73" s="420">
        <f t="shared" si="1"/>
        <v>0</v>
      </c>
      <c r="T73" s="420">
        <f t="shared" si="1"/>
        <v>0</v>
      </c>
      <c r="U73" s="420">
        <f t="shared" si="1"/>
        <v>0</v>
      </c>
      <c r="V73" s="420">
        <f t="shared" si="1"/>
        <v>0</v>
      </c>
      <c r="W73" s="420">
        <f t="shared" si="1"/>
        <v>0</v>
      </c>
      <c r="X73" s="420">
        <f t="shared" si="1"/>
        <v>0</v>
      </c>
      <c r="Y73" s="420">
        <f t="shared" si="1"/>
        <v>0</v>
      </c>
      <c r="Z73" s="420">
        <f t="shared" si="1"/>
        <v>0</v>
      </c>
      <c r="AA73" s="420">
        <f t="shared" si="1"/>
        <v>0</v>
      </c>
      <c r="AB73" s="420"/>
      <c r="AC73" s="420"/>
      <c r="AD73" s="420">
        <f t="shared" si="5"/>
        <v>40391</v>
      </c>
      <c r="AE73" s="420">
        <f t="shared" si="5"/>
        <v>38018</v>
      </c>
      <c r="AF73" s="420">
        <f t="shared" si="6"/>
        <v>40575</v>
      </c>
      <c r="AG73" s="420">
        <f t="shared" si="7"/>
        <v>40575</v>
      </c>
      <c r="AH73" s="420">
        <f t="shared" si="2"/>
        <v>40575</v>
      </c>
      <c r="AI73" s="420">
        <f t="shared" si="3"/>
        <v>40575</v>
      </c>
    </row>
    <row r="74" spans="1:35" ht="12.75">
      <c r="A74" s="382"/>
      <c r="B74" s="382">
        <f t="shared" si="4"/>
        <v>2</v>
      </c>
      <c r="C74" s="382">
        <f t="shared" si="4"/>
        <v>2</v>
      </c>
      <c r="D74" s="419">
        <f t="shared" si="4"/>
        <v>38018</v>
      </c>
      <c r="E74" s="419">
        <f>N74</f>
        <v>0</v>
      </c>
      <c r="F74" s="420">
        <f t="shared" si="1"/>
        <v>0</v>
      </c>
      <c r="G74" s="420">
        <f t="shared" si="1"/>
        <v>0</v>
      </c>
      <c r="H74" s="420">
        <f t="shared" si="1"/>
        <v>0</v>
      </c>
      <c r="I74" s="420">
        <f t="shared" si="1"/>
        <v>0</v>
      </c>
      <c r="J74" s="420">
        <f t="shared" si="1"/>
        <v>0</v>
      </c>
      <c r="K74" s="420">
        <f t="shared" si="1"/>
        <v>0</v>
      </c>
      <c r="L74" s="420">
        <f t="shared" si="1"/>
        <v>0</v>
      </c>
      <c r="M74" s="420">
        <f t="shared" si="1"/>
        <v>0</v>
      </c>
      <c r="N74" s="420">
        <f t="shared" si="1"/>
        <v>0</v>
      </c>
      <c r="O74" s="420">
        <f t="shared" si="1"/>
        <v>0</v>
      </c>
      <c r="P74" s="420">
        <f t="shared" si="1"/>
        <v>0</v>
      </c>
      <c r="Q74" s="420">
        <f t="shared" si="1"/>
        <v>0</v>
      </c>
      <c r="R74" s="420">
        <f t="shared" si="1"/>
        <v>0</v>
      </c>
      <c r="S74" s="420">
        <f t="shared" si="1"/>
        <v>0</v>
      </c>
      <c r="T74" s="420">
        <f t="shared" si="1"/>
        <v>0</v>
      </c>
      <c r="U74" s="420">
        <f t="shared" si="1"/>
        <v>0</v>
      </c>
      <c r="V74" s="420">
        <f t="shared" si="1"/>
        <v>0</v>
      </c>
      <c r="W74" s="420">
        <f t="shared" si="1"/>
        <v>0</v>
      </c>
      <c r="X74" s="420">
        <f t="shared" si="1"/>
        <v>0</v>
      </c>
      <c r="Y74" s="420">
        <f t="shared" si="1"/>
        <v>0</v>
      </c>
      <c r="Z74" s="420">
        <f t="shared" si="1"/>
        <v>0</v>
      </c>
      <c r="AA74" s="420">
        <f t="shared" si="1"/>
        <v>0</v>
      </c>
      <c r="AB74" s="420"/>
      <c r="AC74" s="420"/>
      <c r="AD74" s="420">
        <f t="shared" si="5"/>
        <v>40391</v>
      </c>
      <c r="AE74" s="420">
        <f t="shared" si="5"/>
        <v>38018</v>
      </c>
      <c r="AF74" s="420">
        <f t="shared" si="6"/>
        <v>40940</v>
      </c>
      <c r="AG74" s="420">
        <f t="shared" si="7"/>
        <v>40940</v>
      </c>
      <c r="AH74" s="420">
        <f t="shared" si="2"/>
        <v>40940</v>
      </c>
      <c r="AI74" s="420">
        <f t="shared" si="3"/>
        <v>40940</v>
      </c>
    </row>
    <row r="75" spans="1:35" ht="12.75">
      <c r="A75" s="382"/>
      <c r="B75" s="382">
        <f t="shared" si="4"/>
        <v>2</v>
      </c>
      <c r="C75" s="382">
        <f t="shared" si="4"/>
        <v>2</v>
      </c>
      <c r="D75" s="419">
        <f t="shared" si="4"/>
        <v>38018</v>
      </c>
      <c r="E75" s="419">
        <f>O75</f>
        <v>0</v>
      </c>
      <c r="F75" s="420">
        <f t="shared" si="1"/>
        <v>0</v>
      </c>
      <c r="G75" s="420">
        <f t="shared" si="1"/>
        <v>0</v>
      </c>
      <c r="H75" s="420">
        <f t="shared" si="1"/>
        <v>0</v>
      </c>
      <c r="I75" s="420">
        <f t="shared" si="1"/>
        <v>0</v>
      </c>
      <c r="J75" s="420">
        <f t="shared" si="1"/>
        <v>0</v>
      </c>
      <c r="K75" s="420">
        <f t="shared" si="1"/>
        <v>0</v>
      </c>
      <c r="L75" s="420">
        <f t="shared" si="1"/>
        <v>0</v>
      </c>
      <c r="M75" s="420">
        <f t="shared" si="1"/>
        <v>0</v>
      </c>
      <c r="N75" s="420">
        <f t="shared" si="1"/>
        <v>0</v>
      </c>
      <c r="O75" s="420">
        <f t="shared" si="1"/>
        <v>0</v>
      </c>
      <c r="P75" s="420">
        <f t="shared" si="1"/>
        <v>0</v>
      </c>
      <c r="Q75" s="420">
        <f t="shared" si="1"/>
        <v>0</v>
      </c>
      <c r="R75" s="420">
        <f t="shared" si="1"/>
        <v>0</v>
      </c>
      <c r="S75" s="420">
        <f t="shared" si="1"/>
        <v>0</v>
      </c>
      <c r="T75" s="420">
        <f t="shared" si="1"/>
        <v>0</v>
      </c>
      <c r="U75" s="420">
        <f t="shared" si="1"/>
        <v>0</v>
      </c>
      <c r="V75" s="420">
        <f t="shared" si="1"/>
        <v>0</v>
      </c>
      <c r="W75" s="420">
        <f t="shared" si="1"/>
        <v>0</v>
      </c>
      <c r="X75" s="420">
        <f t="shared" si="1"/>
        <v>0</v>
      </c>
      <c r="Y75" s="420">
        <f t="shared" si="1"/>
        <v>0</v>
      </c>
      <c r="Z75" s="420">
        <f t="shared" si="1"/>
        <v>0</v>
      </c>
      <c r="AA75" s="420">
        <f t="shared" si="1"/>
        <v>0</v>
      </c>
      <c r="AB75" s="420"/>
      <c r="AC75" s="420"/>
      <c r="AD75" s="420">
        <f t="shared" si="5"/>
        <v>40391</v>
      </c>
      <c r="AE75" s="420">
        <f t="shared" si="5"/>
        <v>38018</v>
      </c>
      <c r="AF75" s="420">
        <f t="shared" si="6"/>
        <v>41306</v>
      </c>
      <c r="AG75" s="420">
        <f t="shared" si="7"/>
        <v>41306</v>
      </c>
      <c r="AH75" s="420">
        <f t="shared" si="2"/>
        <v>41306</v>
      </c>
      <c r="AI75" s="420">
        <f t="shared" si="3"/>
        <v>41306</v>
      </c>
    </row>
    <row r="76" spans="1:35" ht="12.75">
      <c r="A76" s="382"/>
      <c r="B76" s="382">
        <f t="shared" si="4"/>
        <v>2</v>
      </c>
      <c r="C76" s="382">
        <f t="shared" si="4"/>
        <v>2</v>
      </c>
      <c r="D76" s="419">
        <f t="shared" si="4"/>
        <v>38018</v>
      </c>
      <c r="E76" s="419">
        <f>P76</f>
        <v>0</v>
      </c>
      <c r="F76" s="420">
        <f t="shared" si="1"/>
        <v>0</v>
      </c>
      <c r="G76" s="420">
        <f t="shared" si="1"/>
        <v>0</v>
      </c>
      <c r="H76" s="420">
        <f t="shared" si="1"/>
        <v>0</v>
      </c>
      <c r="I76" s="420">
        <f t="shared" si="1"/>
        <v>0</v>
      </c>
      <c r="J76" s="420">
        <f t="shared" si="1"/>
        <v>0</v>
      </c>
      <c r="K76" s="420">
        <f t="shared" si="1"/>
        <v>0</v>
      </c>
      <c r="L76" s="420">
        <f t="shared" si="1"/>
        <v>0</v>
      </c>
      <c r="M76" s="420">
        <f t="shared" si="1"/>
        <v>0</v>
      </c>
      <c r="N76" s="420">
        <f t="shared" si="1"/>
        <v>0</v>
      </c>
      <c r="O76" s="420">
        <f t="shared" si="1"/>
        <v>0</v>
      </c>
      <c r="P76" s="420">
        <f t="shared" si="1"/>
        <v>0</v>
      </c>
      <c r="Q76" s="420">
        <f t="shared" si="1"/>
        <v>0</v>
      </c>
      <c r="R76" s="420">
        <f t="shared" si="1"/>
        <v>0</v>
      </c>
      <c r="S76" s="420">
        <f t="shared" si="1"/>
        <v>0</v>
      </c>
      <c r="T76" s="420">
        <f t="shared" si="1"/>
        <v>0</v>
      </c>
      <c r="U76" s="420">
        <f t="shared" si="1"/>
        <v>0</v>
      </c>
      <c r="V76" s="420">
        <f t="shared" si="1"/>
        <v>0</v>
      </c>
      <c r="W76" s="420">
        <f t="shared" si="1"/>
        <v>0</v>
      </c>
      <c r="X76" s="420">
        <f t="shared" si="1"/>
        <v>0</v>
      </c>
      <c r="Y76" s="420">
        <f t="shared" si="1"/>
        <v>0</v>
      </c>
      <c r="Z76" s="420">
        <f t="shared" si="1"/>
        <v>0</v>
      </c>
      <c r="AA76" s="420">
        <f t="shared" si="1"/>
        <v>0</v>
      </c>
      <c r="AB76" s="420"/>
      <c r="AC76" s="420"/>
      <c r="AD76" s="420">
        <f t="shared" si="5"/>
        <v>40391</v>
      </c>
      <c r="AE76" s="420">
        <f t="shared" si="5"/>
        <v>38018</v>
      </c>
      <c r="AF76" s="420">
        <f t="shared" si="6"/>
        <v>41671</v>
      </c>
      <c r="AG76" s="420">
        <f t="shared" si="7"/>
        <v>41671</v>
      </c>
      <c r="AH76" s="420">
        <f t="shared" si="2"/>
        <v>41671</v>
      </c>
      <c r="AI76" s="420">
        <f t="shared" si="3"/>
        <v>41671</v>
      </c>
    </row>
    <row r="77" spans="1:35" ht="12.75">
      <c r="A77" s="382"/>
      <c r="B77" s="382">
        <f t="shared" si="4"/>
        <v>2</v>
      </c>
      <c r="C77" s="382">
        <f t="shared" si="4"/>
        <v>2</v>
      </c>
      <c r="D77" s="419">
        <f t="shared" si="4"/>
        <v>38018</v>
      </c>
      <c r="E77" s="419">
        <f>Q77</f>
        <v>0</v>
      </c>
      <c r="F77" s="420">
        <f t="shared" si="1"/>
        <v>0</v>
      </c>
      <c r="G77" s="420">
        <f t="shared" si="1"/>
        <v>0</v>
      </c>
      <c r="H77" s="420">
        <f t="shared" si="1"/>
        <v>0</v>
      </c>
      <c r="I77" s="420">
        <f t="shared" si="1"/>
        <v>0</v>
      </c>
      <c r="J77" s="420">
        <f t="shared" si="1"/>
        <v>0</v>
      </c>
      <c r="K77" s="420">
        <f t="shared" si="1"/>
        <v>0</v>
      </c>
      <c r="L77" s="420">
        <f t="shared" si="1"/>
        <v>0</v>
      </c>
      <c r="M77" s="420">
        <f t="shared" si="1"/>
        <v>0</v>
      </c>
      <c r="N77" s="420">
        <f t="shared" si="1"/>
        <v>0</v>
      </c>
      <c r="O77" s="420">
        <f t="shared" si="1"/>
        <v>0</v>
      </c>
      <c r="P77" s="420">
        <f t="shared" si="1"/>
        <v>0</v>
      </c>
      <c r="Q77" s="420">
        <f t="shared" si="1"/>
        <v>0</v>
      </c>
      <c r="R77" s="420">
        <f t="shared" si="1"/>
        <v>0</v>
      </c>
      <c r="S77" s="420">
        <f t="shared" si="1"/>
        <v>0</v>
      </c>
      <c r="T77" s="420">
        <f t="shared" si="1"/>
        <v>0</v>
      </c>
      <c r="U77" s="420">
        <f t="shared" si="1"/>
        <v>0</v>
      </c>
      <c r="V77" s="420">
        <f t="shared" si="1"/>
        <v>0</v>
      </c>
      <c r="W77" s="420">
        <f t="shared" si="1"/>
        <v>0</v>
      </c>
      <c r="X77" s="420">
        <f t="shared" si="1"/>
        <v>0</v>
      </c>
      <c r="Y77" s="420">
        <f t="shared" si="1"/>
        <v>0</v>
      </c>
      <c r="Z77" s="420">
        <f t="shared" si="1"/>
        <v>0</v>
      </c>
      <c r="AA77" s="420">
        <f t="shared" si="1"/>
        <v>0</v>
      </c>
      <c r="AB77" s="420"/>
      <c r="AC77" s="420"/>
      <c r="AD77" s="420">
        <f t="shared" si="5"/>
        <v>40391</v>
      </c>
      <c r="AE77" s="420">
        <f t="shared" si="5"/>
        <v>38018</v>
      </c>
      <c r="AF77" s="420">
        <f t="shared" si="6"/>
        <v>42036</v>
      </c>
      <c r="AG77" s="420">
        <f t="shared" si="7"/>
        <v>42036</v>
      </c>
      <c r="AH77" s="420">
        <f t="shared" si="2"/>
        <v>42036</v>
      </c>
      <c r="AI77" s="420">
        <f t="shared" si="3"/>
        <v>42036</v>
      </c>
    </row>
    <row r="78" spans="1:35" ht="12.75">
      <c r="A78" s="382"/>
      <c r="B78" s="382">
        <f t="shared" si="4"/>
        <v>2</v>
      </c>
      <c r="C78" s="382">
        <f t="shared" si="4"/>
        <v>2</v>
      </c>
      <c r="D78" s="419">
        <f t="shared" si="4"/>
        <v>38018</v>
      </c>
      <c r="E78" s="419">
        <f>R78</f>
        <v>0</v>
      </c>
      <c r="F78" s="420">
        <f t="shared" si="1"/>
        <v>0</v>
      </c>
      <c r="G78" s="420">
        <f t="shared" si="1"/>
        <v>0</v>
      </c>
      <c r="H78" s="420">
        <f t="shared" si="1"/>
        <v>0</v>
      </c>
      <c r="I78" s="420">
        <f t="shared" si="1"/>
        <v>0</v>
      </c>
      <c r="J78" s="420">
        <f t="shared" si="1"/>
        <v>0</v>
      </c>
      <c r="K78" s="420">
        <f t="shared" si="1"/>
        <v>0</v>
      </c>
      <c r="L78" s="420">
        <f t="shared" si="1"/>
        <v>0</v>
      </c>
      <c r="M78" s="420">
        <f t="shared" si="1"/>
        <v>0</v>
      </c>
      <c r="N78" s="420">
        <f t="shared" si="1"/>
        <v>0</v>
      </c>
      <c r="O78" s="420">
        <f t="shared" si="1"/>
        <v>0</v>
      </c>
      <c r="P78" s="420">
        <f t="shared" si="1"/>
        <v>0</v>
      </c>
      <c r="Q78" s="420">
        <f t="shared" si="1"/>
        <v>0</v>
      </c>
      <c r="R78" s="420">
        <f t="shared" si="1"/>
        <v>0</v>
      </c>
      <c r="S78" s="420">
        <f aca="true" t="shared" si="8" ref="F78:AA87">S77</f>
        <v>0</v>
      </c>
      <c r="T78" s="420">
        <f t="shared" si="8"/>
        <v>0</v>
      </c>
      <c r="U78" s="420">
        <f t="shared" si="8"/>
        <v>0</v>
      </c>
      <c r="V78" s="420">
        <f t="shared" si="8"/>
        <v>0</v>
      </c>
      <c r="W78" s="420">
        <f t="shared" si="8"/>
        <v>0</v>
      </c>
      <c r="X78" s="420">
        <f t="shared" si="8"/>
        <v>0</v>
      </c>
      <c r="Y78" s="420">
        <f t="shared" si="8"/>
        <v>0</v>
      </c>
      <c r="Z78" s="420">
        <f t="shared" si="8"/>
        <v>0</v>
      </c>
      <c r="AA78" s="420">
        <f t="shared" si="8"/>
        <v>0</v>
      </c>
      <c r="AB78" s="420"/>
      <c r="AC78" s="420"/>
      <c r="AD78" s="420">
        <f t="shared" si="5"/>
        <v>40391</v>
      </c>
      <c r="AE78" s="420">
        <f t="shared" si="5"/>
        <v>38018</v>
      </c>
      <c r="AF78" s="420">
        <f t="shared" si="6"/>
        <v>42401</v>
      </c>
      <c r="AG78" s="420">
        <f t="shared" si="7"/>
        <v>42401</v>
      </c>
      <c r="AH78" s="420">
        <f t="shared" si="2"/>
        <v>42401</v>
      </c>
      <c r="AI78" s="420">
        <f t="shared" si="3"/>
        <v>42401</v>
      </c>
    </row>
    <row r="79" spans="1:35" ht="12.75">
      <c r="A79" s="382"/>
      <c r="B79" s="382">
        <f t="shared" si="4"/>
        <v>2</v>
      </c>
      <c r="C79" s="382">
        <f t="shared" si="4"/>
        <v>2</v>
      </c>
      <c r="D79" s="419">
        <f t="shared" si="4"/>
        <v>38018</v>
      </c>
      <c r="E79" s="419">
        <f>S79</f>
        <v>0</v>
      </c>
      <c r="F79" s="420">
        <f t="shared" si="8"/>
        <v>0</v>
      </c>
      <c r="G79" s="420">
        <f t="shared" si="8"/>
        <v>0</v>
      </c>
      <c r="H79" s="420">
        <f t="shared" si="8"/>
        <v>0</v>
      </c>
      <c r="I79" s="420">
        <f t="shared" si="8"/>
        <v>0</v>
      </c>
      <c r="J79" s="420">
        <f t="shared" si="8"/>
        <v>0</v>
      </c>
      <c r="K79" s="420">
        <f t="shared" si="8"/>
        <v>0</v>
      </c>
      <c r="L79" s="420">
        <f t="shared" si="8"/>
        <v>0</v>
      </c>
      <c r="M79" s="420">
        <f t="shared" si="8"/>
        <v>0</v>
      </c>
      <c r="N79" s="420">
        <f t="shared" si="8"/>
        <v>0</v>
      </c>
      <c r="O79" s="420">
        <f t="shared" si="8"/>
        <v>0</v>
      </c>
      <c r="P79" s="420">
        <f t="shared" si="8"/>
        <v>0</v>
      </c>
      <c r="Q79" s="420">
        <f t="shared" si="8"/>
        <v>0</v>
      </c>
      <c r="R79" s="420">
        <f t="shared" si="8"/>
        <v>0</v>
      </c>
      <c r="S79" s="420">
        <f t="shared" si="8"/>
        <v>0</v>
      </c>
      <c r="T79" s="420">
        <f t="shared" si="8"/>
        <v>0</v>
      </c>
      <c r="U79" s="420">
        <f t="shared" si="8"/>
        <v>0</v>
      </c>
      <c r="V79" s="420">
        <f t="shared" si="8"/>
        <v>0</v>
      </c>
      <c r="W79" s="420">
        <f t="shared" si="8"/>
        <v>0</v>
      </c>
      <c r="X79" s="420">
        <f t="shared" si="8"/>
        <v>0</v>
      </c>
      <c r="Y79" s="420">
        <f t="shared" si="8"/>
        <v>0</v>
      </c>
      <c r="Z79" s="420">
        <f t="shared" si="8"/>
        <v>0</v>
      </c>
      <c r="AA79" s="420">
        <f t="shared" si="8"/>
        <v>0</v>
      </c>
      <c r="AB79" s="420"/>
      <c r="AC79" s="420"/>
      <c r="AD79" s="420">
        <f t="shared" si="5"/>
        <v>40391</v>
      </c>
      <c r="AE79" s="420">
        <f t="shared" si="5"/>
        <v>38018</v>
      </c>
      <c r="AF79" s="420">
        <f t="shared" si="6"/>
        <v>42767</v>
      </c>
      <c r="AG79" s="420">
        <f t="shared" si="7"/>
        <v>42767</v>
      </c>
      <c r="AH79" s="420">
        <f t="shared" si="2"/>
        <v>42767</v>
      </c>
      <c r="AI79" s="420">
        <f t="shared" si="3"/>
        <v>42767</v>
      </c>
    </row>
    <row r="80" spans="1:35" ht="12.75">
      <c r="A80" s="382"/>
      <c r="B80" s="382">
        <f t="shared" si="4"/>
        <v>2</v>
      </c>
      <c r="C80" s="382">
        <f t="shared" si="4"/>
        <v>2</v>
      </c>
      <c r="D80" s="419">
        <f t="shared" si="4"/>
        <v>38018</v>
      </c>
      <c r="E80" s="419">
        <f>T80</f>
        <v>0</v>
      </c>
      <c r="F80" s="420">
        <f t="shared" si="8"/>
        <v>0</v>
      </c>
      <c r="G80" s="420">
        <f t="shared" si="8"/>
        <v>0</v>
      </c>
      <c r="H80" s="420">
        <f t="shared" si="8"/>
        <v>0</v>
      </c>
      <c r="I80" s="420">
        <f t="shared" si="8"/>
        <v>0</v>
      </c>
      <c r="J80" s="420">
        <f t="shared" si="8"/>
        <v>0</v>
      </c>
      <c r="K80" s="420">
        <f t="shared" si="8"/>
        <v>0</v>
      </c>
      <c r="L80" s="420">
        <f t="shared" si="8"/>
        <v>0</v>
      </c>
      <c r="M80" s="420">
        <f t="shared" si="8"/>
        <v>0</v>
      </c>
      <c r="N80" s="420">
        <f t="shared" si="8"/>
        <v>0</v>
      </c>
      <c r="O80" s="420">
        <f t="shared" si="8"/>
        <v>0</v>
      </c>
      <c r="P80" s="420">
        <f t="shared" si="8"/>
        <v>0</v>
      </c>
      <c r="Q80" s="420">
        <f t="shared" si="8"/>
        <v>0</v>
      </c>
      <c r="R80" s="420">
        <f t="shared" si="8"/>
        <v>0</v>
      </c>
      <c r="S80" s="420">
        <f t="shared" si="8"/>
        <v>0</v>
      </c>
      <c r="T80" s="420">
        <f t="shared" si="8"/>
        <v>0</v>
      </c>
      <c r="U80" s="420">
        <f t="shared" si="8"/>
        <v>0</v>
      </c>
      <c r="V80" s="420">
        <f t="shared" si="8"/>
        <v>0</v>
      </c>
      <c r="W80" s="420">
        <f t="shared" si="8"/>
        <v>0</v>
      </c>
      <c r="X80" s="420">
        <f t="shared" si="8"/>
        <v>0</v>
      </c>
      <c r="Y80" s="420">
        <f t="shared" si="8"/>
        <v>0</v>
      </c>
      <c r="Z80" s="420">
        <f t="shared" si="8"/>
        <v>0</v>
      </c>
      <c r="AA80" s="420">
        <f t="shared" si="8"/>
        <v>0</v>
      </c>
      <c r="AB80" s="420"/>
      <c r="AC80" s="420"/>
      <c r="AD80" s="420">
        <f t="shared" si="5"/>
        <v>40391</v>
      </c>
      <c r="AE80" s="420">
        <f t="shared" si="5"/>
        <v>38018</v>
      </c>
      <c r="AF80" s="420">
        <f t="shared" si="6"/>
        <v>43132</v>
      </c>
      <c r="AG80" s="420">
        <f t="shared" si="7"/>
        <v>43132</v>
      </c>
      <c r="AH80" s="420">
        <f t="shared" si="2"/>
        <v>43132</v>
      </c>
      <c r="AI80" s="420">
        <f t="shared" si="3"/>
        <v>43132</v>
      </c>
    </row>
    <row r="81" spans="1:35" ht="12.75">
      <c r="A81" s="382"/>
      <c r="B81" s="382">
        <f t="shared" si="4"/>
        <v>2</v>
      </c>
      <c r="C81" s="382">
        <f t="shared" si="4"/>
        <v>2</v>
      </c>
      <c r="D81" s="419">
        <f t="shared" si="4"/>
        <v>38018</v>
      </c>
      <c r="E81" s="419">
        <f>U81</f>
        <v>0</v>
      </c>
      <c r="F81" s="420">
        <f t="shared" si="8"/>
        <v>0</v>
      </c>
      <c r="G81" s="420">
        <f t="shared" si="8"/>
        <v>0</v>
      </c>
      <c r="H81" s="420">
        <f t="shared" si="8"/>
        <v>0</v>
      </c>
      <c r="I81" s="420">
        <f t="shared" si="8"/>
        <v>0</v>
      </c>
      <c r="J81" s="420">
        <f t="shared" si="8"/>
        <v>0</v>
      </c>
      <c r="K81" s="420">
        <f t="shared" si="8"/>
        <v>0</v>
      </c>
      <c r="L81" s="420">
        <f t="shared" si="8"/>
        <v>0</v>
      </c>
      <c r="M81" s="420">
        <f t="shared" si="8"/>
        <v>0</v>
      </c>
      <c r="N81" s="420">
        <f t="shared" si="8"/>
        <v>0</v>
      </c>
      <c r="O81" s="420">
        <f t="shared" si="8"/>
        <v>0</v>
      </c>
      <c r="P81" s="420">
        <f t="shared" si="8"/>
        <v>0</v>
      </c>
      <c r="Q81" s="420">
        <f t="shared" si="8"/>
        <v>0</v>
      </c>
      <c r="R81" s="420">
        <f t="shared" si="8"/>
        <v>0</v>
      </c>
      <c r="S81" s="420">
        <f t="shared" si="8"/>
        <v>0</v>
      </c>
      <c r="T81" s="420">
        <f t="shared" si="8"/>
        <v>0</v>
      </c>
      <c r="U81" s="420">
        <f t="shared" si="8"/>
        <v>0</v>
      </c>
      <c r="V81" s="420">
        <f t="shared" si="8"/>
        <v>0</v>
      </c>
      <c r="W81" s="420">
        <f t="shared" si="8"/>
        <v>0</v>
      </c>
      <c r="X81" s="420">
        <f t="shared" si="8"/>
        <v>0</v>
      </c>
      <c r="Y81" s="420">
        <f t="shared" si="8"/>
        <v>0</v>
      </c>
      <c r="Z81" s="420">
        <f t="shared" si="8"/>
        <v>0</v>
      </c>
      <c r="AA81" s="420">
        <f t="shared" si="8"/>
        <v>0</v>
      </c>
      <c r="AB81" s="420"/>
      <c r="AC81" s="420"/>
      <c r="AD81" s="420">
        <f t="shared" si="5"/>
        <v>40391</v>
      </c>
      <c r="AE81" s="420">
        <f t="shared" si="5"/>
        <v>38018</v>
      </c>
      <c r="AF81" s="420">
        <f t="shared" si="6"/>
        <v>43497</v>
      </c>
      <c r="AG81" s="420">
        <f t="shared" si="7"/>
        <v>43497</v>
      </c>
      <c r="AH81" s="420">
        <f t="shared" si="2"/>
        <v>43497</v>
      </c>
      <c r="AI81" s="420">
        <f t="shared" si="3"/>
        <v>43497</v>
      </c>
    </row>
    <row r="82" spans="1:35" ht="12.75">
      <c r="A82" s="382"/>
      <c r="B82" s="382">
        <f t="shared" si="4"/>
        <v>2</v>
      </c>
      <c r="C82" s="382">
        <f t="shared" si="4"/>
        <v>2</v>
      </c>
      <c r="D82" s="419">
        <f t="shared" si="4"/>
        <v>38018</v>
      </c>
      <c r="E82" s="419">
        <f>V82</f>
        <v>0</v>
      </c>
      <c r="F82" s="420">
        <f t="shared" si="8"/>
        <v>0</v>
      </c>
      <c r="G82" s="420">
        <f t="shared" si="8"/>
        <v>0</v>
      </c>
      <c r="H82" s="420">
        <f t="shared" si="8"/>
        <v>0</v>
      </c>
      <c r="I82" s="420">
        <f t="shared" si="8"/>
        <v>0</v>
      </c>
      <c r="J82" s="420">
        <f t="shared" si="8"/>
        <v>0</v>
      </c>
      <c r="K82" s="420">
        <f t="shared" si="8"/>
        <v>0</v>
      </c>
      <c r="L82" s="420">
        <f t="shared" si="8"/>
        <v>0</v>
      </c>
      <c r="M82" s="420">
        <f t="shared" si="8"/>
        <v>0</v>
      </c>
      <c r="N82" s="420">
        <f t="shared" si="8"/>
        <v>0</v>
      </c>
      <c r="O82" s="420">
        <f t="shared" si="8"/>
        <v>0</v>
      </c>
      <c r="P82" s="420">
        <f t="shared" si="8"/>
        <v>0</v>
      </c>
      <c r="Q82" s="420">
        <f t="shared" si="8"/>
        <v>0</v>
      </c>
      <c r="R82" s="420">
        <f t="shared" si="8"/>
        <v>0</v>
      </c>
      <c r="S82" s="420">
        <f t="shared" si="8"/>
        <v>0</v>
      </c>
      <c r="T82" s="420">
        <f t="shared" si="8"/>
        <v>0</v>
      </c>
      <c r="U82" s="420">
        <f t="shared" si="8"/>
        <v>0</v>
      </c>
      <c r="V82" s="420">
        <f t="shared" si="8"/>
        <v>0</v>
      </c>
      <c r="W82" s="420">
        <f t="shared" si="8"/>
        <v>0</v>
      </c>
      <c r="X82" s="420">
        <f t="shared" si="8"/>
        <v>0</v>
      </c>
      <c r="Y82" s="420">
        <f t="shared" si="8"/>
        <v>0</v>
      </c>
      <c r="Z82" s="420">
        <f t="shared" si="8"/>
        <v>0</v>
      </c>
      <c r="AA82" s="420">
        <f t="shared" si="8"/>
        <v>0</v>
      </c>
      <c r="AB82" s="420"/>
      <c r="AC82" s="420"/>
      <c r="AD82" s="420">
        <f t="shared" si="5"/>
        <v>40391</v>
      </c>
      <c r="AE82" s="420">
        <f t="shared" si="5"/>
        <v>38018</v>
      </c>
      <c r="AF82" s="420">
        <f>35977+0.001</f>
        <v>35977.001</v>
      </c>
      <c r="AG82" s="420">
        <f aca="true" t="shared" si="9" ref="AG82:AH84">AF82</f>
        <v>35977.001</v>
      </c>
      <c r="AH82" s="420">
        <f t="shared" si="9"/>
        <v>35977.001</v>
      </c>
      <c r="AI82" s="420">
        <f t="shared" si="3"/>
        <v>38018</v>
      </c>
    </row>
    <row r="83" spans="1:35" ht="12.75">
      <c r="A83" s="382"/>
      <c r="B83" s="382">
        <f t="shared" si="4"/>
        <v>2</v>
      </c>
      <c r="C83" s="382">
        <f t="shared" si="4"/>
        <v>2</v>
      </c>
      <c r="D83" s="419">
        <f t="shared" si="4"/>
        <v>38018</v>
      </c>
      <c r="E83" s="419">
        <f>W83</f>
        <v>0</v>
      </c>
      <c r="F83" s="420">
        <f t="shared" si="8"/>
        <v>0</v>
      </c>
      <c r="G83" s="420">
        <f t="shared" si="8"/>
        <v>0</v>
      </c>
      <c r="H83" s="420">
        <f t="shared" si="8"/>
        <v>0</v>
      </c>
      <c r="I83" s="420">
        <f t="shared" si="8"/>
        <v>0</v>
      </c>
      <c r="J83" s="420">
        <f t="shared" si="8"/>
        <v>0</v>
      </c>
      <c r="K83" s="420">
        <f t="shared" si="8"/>
        <v>0</v>
      </c>
      <c r="L83" s="420">
        <f t="shared" si="8"/>
        <v>0</v>
      </c>
      <c r="M83" s="420">
        <f t="shared" si="8"/>
        <v>0</v>
      </c>
      <c r="N83" s="420">
        <f t="shared" si="8"/>
        <v>0</v>
      </c>
      <c r="O83" s="420">
        <f t="shared" si="8"/>
        <v>0</v>
      </c>
      <c r="P83" s="420">
        <f t="shared" si="8"/>
        <v>0</v>
      </c>
      <c r="Q83" s="420">
        <f t="shared" si="8"/>
        <v>0</v>
      </c>
      <c r="R83" s="420">
        <f t="shared" si="8"/>
        <v>0</v>
      </c>
      <c r="S83" s="420">
        <f t="shared" si="8"/>
        <v>0</v>
      </c>
      <c r="T83" s="420">
        <f t="shared" si="8"/>
        <v>0</v>
      </c>
      <c r="U83" s="420">
        <f t="shared" si="8"/>
        <v>0</v>
      </c>
      <c r="V83" s="420">
        <f t="shared" si="8"/>
        <v>0</v>
      </c>
      <c r="W83" s="420">
        <f t="shared" si="8"/>
        <v>0</v>
      </c>
      <c r="X83" s="420">
        <f t="shared" si="8"/>
        <v>0</v>
      </c>
      <c r="Y83" s="420">
        <f t="shared" si="8"/>
        <v>0</v>
      </c>
      <c r="Z83" s="420">
        <f t="shared" si="8"/>
        <v>0</v>
      </c>
      <c r="AA83" s="420">
        <f t="shared" si="8"/>
        <v>0</v>
      </c>
      <c r="AB83" s="420"/>
      <c r="AC83" s="420"/>
      <c r="AD83" s="420">
        <f t="shared" si="5"/>
        <v>40391</v>
      </c>
      <c r="AE83" s="420">
        <f t="shared" si="5"/>
        <v>38018</v>
      </c>
      <c r="AF83" s="420">
        <f>37803+0.001</f>
        <v>37803.001</v>
      </c>
      <c r="AG83" s="420">
        <f t="shared" si="9"/>
        <v>37803.001</v>
      </c>
      <c r="AH83" s="420">
        <f t="shared" si="9"/>
        <v>37803.001</v>
      </c>
      <c r="AI83" s="420">
        <f t="shared" si="3"/>
        <v>38018</v>
      </c>
    </row>
    <row r="84" spans="1:35" ht="12.75">
      <c r="A84" s="382"/>
      <c r="B84" s="382">
        <f aca="true" t="shared" si="10" ref="B84:D87">B83</f>
        <v>2</v>
      </c>
      <c r="C84" s="382">
        <f t="shared" si="10"/>
        <v>2</v>
      </c>
      <c r="D84" s="419">
        <f t="shared" si="10"/>
        <v>38018</v>
      </c>
      <c r="E84" s="419">
        <f>X84</f>
        <v>0</v>
      </c>
      <c r="F84" s="420">
        <f t="shared" si="8"/>
        <v>0</v>
      </c>
      <c r="G84" s="420">
        <f t="shared" si="8"/>
        <v>0</v>
      </c>
      <c r="H84" s="420">
        <f t="shared" si="8"/>
        <v>0</v>
      </c>
      <c r="I84" s="420">
        <f t="shared" si="8"/>
        <v>0</v>
      </c>
      <c r="J84" s="420">
        <f t="shared" si="8"/>
        <v>0</v>
      </c>
      <c r="K84" s="420">
        <f t="shared" si="8"/>
        <v>0</v>
      </c>
      <c r="L84" s="420">
        <f t="shared" si="8"/>
        <v>0</v>
      </c>
      <c r="M84" s="420">
        <f t="shared" si="8"/>
        <v>0</v>
      </c>
      <c r="N84" s="420">
        <f t="shared" si="8"/>
        <v>0</v>
      </c>
      <c r="O84" s="420">
        <f t="shared" si="8"/>
        <v>0</v>
      </c>
      <c r="P84" s="420">
        <f t="shared" si="8"/>
        <v>0</v>
      </c>
      <c r="Q84" s="420">
        <f t="shared" si="8"/>
        <v>0</v>
      </c>
      <c r="R84" s="420">
        <f t="shared" si="8"/>
        <v>0</v>
      </c>
      <c r="S84" s="420">
        <f t="shared" si="8"/>
        <v>0</v>
      </c>
      <c r="T84" s="420">
        <f t="shared" si="8"/>
        <v>0</v>
      </c>
      <c r="U84" s="420">
        <f t="shared" si="8"/>
        <v>0</v>
      </c>
      <c r="V84" s="420">
        <f t="shared" si="8"/>
        <v>0</v>
      </c>
      <c r="W84" s="420">
        <f t="shared" si="8"/>
        <v>0</v>
      </c>
      <c r="X84" s="420">
        <f t="shared" si="8"/>
        <v>0</v>
      </c>
      <c r="Y84" s="420">
        <f t="shared" si="8"/>
        <v>0</v>
      </c>
      <c r="Z84" s="420">
        <f t="shared" si="8"/>
        <v>0</v>
      </c>
      <c r="AA84" s="420">
        <f t="shared" si="8"/>
        <v>0</v>
      </c>
      <c r="AB84" s="420"/>
      <c r="AC84" s="420"/>
      <c r="AD84" s="420">
        <f aca="true" t="shared" si="11" ref="AD84:AE86">AD83</f>
        <v>40391</v>
      </c>
      <c r="AE84" s="420">
        <f t="shared" si="11"/>
        <v>38018</v>
      </c>
      <c r="AF84" s="420">
        <f>IF(B57=1,B58,AF85)</f>
        <v>40210</v>
      </c>
      <c r="AG84" s="420">
        <f t="shared" si="9"/>
        <v>40210</v>
      </c>
      <c r="AH84" s="420">
        <f t="shared" si="9"/>
        <v>40210</v>
      </c>
      <c r="AI84" s="420">
        <f t="shared" si="3"/>
        <v>40210</v>
      </c>
    </row>
    <row r="85" spans="1:35" ht="12.75">
      <c r="A85" s="382"/>
      <c r="B85" s="382">
        <f t="shared" si="10"/>
        <v>2</v>
      </c>
      <c r="C85" s="382">
        <f t="shared" si="10"/>
        <v>2</v>
      </c>
      <c r="D85" s="419">
        <f t="shared" si="10"/>
        <v>38018</v>
      </c>
      <c r="E85" s="419">
        <f>Y85</f>
        <v>0</v>
      </c>
      <c r="F85" s="420">
        <f t="shared" si="8"/>
        <v>0</v>
      </c>
      <c r="G85" s="420">
        <f t="shared" si="8"/>
        <v>0</v>
      </c>
      <c r="H85" s="420">
        <f t="shared" si="8"/>
        <v>0</v>
      </c>
      <c r="I85" s="420">
        <f t="shared" si="8"/>
        <v>0</v>
      </c>
      <c r="J85" s="420">
        <f t="shared" si="8"/>
        <v>0</v>
      </c>
      <c r="K85" s="420">
        <f t="shared" si="8"/>
        <v>0</v>
      </c>
      <c r="L85" s="420">
        <f t="shared" si="8"/>
        <v>0</v>
      </c>
      <c r="M85" s="420">
        <f t="shared" si="8"/>
        <v>0</v>
      </c>
      <c r="N85" s="420">
        <f t="shared" si="8"/>
        <v>0</v>
      </c>
      <c r="O85" s="420">
        <f t="shared" si="8"/>
        <v>0</v>
      </c>
      <c r="P85" s="420">
        <f t="shared" si="8"/>
        <v>0</v>
      </c>
      <c r="Q85" s="420">
        <f t="shared" si="8"/>
        <v>0</v>
      </c>
      <c r="R85" s="420">
        <f t="shared" si="8"/>
        <v>0</v>
      </c>
      <c r="S85" s="420">
        <f t="shared" si="8"/>
        <v>0</v>
      </c>
      <c r="T85" s="420">
        <f t="shared" si="8"/>
        <v>0</v>
      </c>
      <c r="U85" s="420">
        <f t="shared" si="8"/>
        <v>0</v>
      </c>
      <c r="V85" s="420">
        <f t="shared" si="8"/>
        <v>0</v>
      </c>
      <c r="W85" s="420">
        <f t="shared" si="8"/>
        <v>0</v>
      </c>
      <c r="X85" s="420">
        <f t="shared" si="8"/>
        <v>0</v>
      </c>
      <c r="Y85" s="420">
        <f t="shared" si="8"/>
        <v>0</v>
      </c>
      <c r="Z85" s="420">
        <f t="shared" si="8"/>
        <v>0</v>
      </c>
      <c r="AA85" s="420">
        <f t="shared" si="8"/>
        <v>0</v>
      </c>
      <c r="AB85" s="420"/>
      <c r="AC85" s="420"/>
      <c r="AD85" s="420">
        <f t="shared" si="11"/>
        <v>40391</v>
      </c>
      <c r="AE85" s="420">
        <f t="shared" si="11"/>
        <v>38018</v>
      </c>
      <c r="AF85" s="420">
        <f>DATE(YEAR(B56)+8,MONTH(B56),DAY(B56))</f>
        <v>40210</v>
      </c>
      <c r="AG85" s="420">
        <f>IF(AF85&lt;AF84,AF85,AF84)</f>
        <v>40210</v>
      </c>
      <c r="AH85" s="420">
        <f>AG85</f>
        <v>40210</v>
      </c>
      <c r="AI85" s="420">
        <f t="shared" si="3"/>
        <v>40210</v>
      </c>
    </row>
    <row r="86" spans="1:35" ht="12.75">
      <c r="A86" s="382"/>
      <c r="B86" s="382">
        <f t="shared" si="10"/>
        <v>2</v>
      </c>
      <c r="C86" s="382">
        <f t="shared" si="10"/>
        <v>2</v>
      </c>
      <c r="D86" s="419">
        <f t="shared" si="10"/>
        <v>38018</v>
      </c>
      <c r="E86" s="419">
        <f>Z86</f>
        <v>0</v>
      </c>
      <c r="F86" s="420">
        <f t="shared" si="8"/>
        <v>0</v>
      </c>
      <c r="G86" s="420">
        <f t="shared" si="8"/>
        <v>0</v>
      </c>
      <c r="H86" s="420">
        <f t="shared" si="8"/>
        <v>0</v>
      </c>
      <c r="I86" s="420">
        <f t="shared" si="8"/>
        <v>0</v>
      </c>
      <c r="J86" s="420">
        <f t="shared" si="8"/>
        <v>0</v>
      </c>
      <c r="K86" s="420">
        <f t="shared" si="8"/>
        <v>0</v>
      </c>
      <c r="L86" s="420">
        <f t="shared" si="8"/>
        <v>0</v>
      </c>
      <c r="M86" s="420">
        <f t="shared" si="8"/>
        <v>0</v>
      </c>
      <c r="N86" s="420">
        <f t="shared" si="8"/>
        <v>0</v>
      </c>
      <c r="O86" s="420">
        <f t="shared" si="8"/>
        <v>0</v>
      </c>
      <c r="P86" s="420">
        <f t="shared" si="8"/>
        <v>0</v>
      </c>
      <c r="Q86" s="420">
        <f t="shared" si="8"/>
        <v>0</v>
      </c>
      <c r="R86" s="420">
        <f t="shared" si="8"/>
        <v>0</v>
      </c>
      <c r="S86" s="420">
        <f t="shared" si="8"/>
        <v>0</v>
      </c>
      <c r="T86" s="420">
        <f t="shared" si="8"/>
        <v>0</v>
      </c>
      <c r="U86" s="420">
        <f t="shared" si="8"/>
        <v>0</v>
      </c>
      <c r="V86" s="420">
        <f t="shared" si="8"/>
        <v>0</v>
      </c>
      <c r="W86" s="420">
        <f t="shared" si="8"/>
        <v>0</v>
      </c>
      <c r="X86" s="420">
        <f t="shared" si="8"/>
        <v>0</v>
      </c>
      <c r="Y86" s="420">
        <f t="shared" si="8"/>
        <v>0</v>
      </c>
      <c r="Z86" s="420">
        <f t="shared" si="8"/>
        <v>0</v>
      </c>
      <c r="AA86" s="420">
        <f t="shared" si="8"/>
        <v>0</v>
      </c>
      <c r="AB86" s="420"/>
      <c r="AC86" s="420"/>
      <c r="AD86" s="420">
        <f t="shared" si="11"/>
        <v>40391</v>
      </c>
      <c r="AE86" s="420">
        <f t="shared" si="11"/>
        <v>38018</v>
      </c>
      <c r="AF86" s="420">
        <f>AF87</f>
        <v>43132.01</v>
      </c>
      <c r="AG86" s="420">
        <f>AF86</f>
        <v>43132.01</v>
      </c>
      <c r="AH86" s="420">
        <f>AG86</f>
        <v>43132.01</v>
      </c>
      <c r="AI86" s="420">
        <f t="shared" si="3"/>
        <v>43132.01</v>
      </c>
    </row>
    <row r="87" spans="1:35" ht="12.75">
      <c r="A87" s="382"/>
      <c r="B87" s="382">
        <f t="shared" si="10"/>
        <v>2</v>
      </c>
      <c r="C87" s="382">
        <f t="shared" si="10"/>
        <v>2</v>
      </c>
      <c r="D87" s="419">
        <f>D86</f>
        <v>38018</v>
      </c>
      <c r="E87" s="419">
        <f>AA87</f>
        <v>0</v>
      </c>
      <c r="F87" s="420">
        <f t="shared" si="8"/>
        <v>0</v>
      </c>
      <c r="G87" s="420">
        <f t="shared" si="8"/>
        <v>0</v>
      </c>
      <c r="H87" s="420">
        <f t="shared" si="8"/>
        <v>0</v>
      </c>
      <c r="I87" s="420">
        <f t="shared" si="8"/>
        <v>0</v>
      </c>
      <c r="J87" s="420">
        <f t="shared" si="8"/>
        <v>0</v>
      </c>
      <c r="K87" s="420">
        <f t="shared" si="8"/>
        <v>0</v>
      </c>
      <c r="L87" s="420">
        <f t="shared" si="8"/>
        <v>0</v>
      </c>
      <c r="M87" s="420">
        <f t="shared" si="8"/>
        <v>0</v>
      </c>
      <c r="N87" s="420">
        <f t="shared" si="8"/>
        <v>0</v>
      </c>
      <c r="O87" s="420">
        <f t="shared" si="8"/>
        <v>0</v>
      </c>
      <c r="P87" s="420">
        <f t="shared" si="8"/>
        <v>0</v>
      </c>
      <c r="Q87" s="420">
        <f t="shared" si="8"/>
        <v>0</v>
      </c>
      <c r="R87" s="420">
        <f t="shared" si="8"/>
        <v>0</v>
      </c>
      <c r="S87" s="420">
        <f t="shared" si="8"/>
        <v>0</v>
      </c>
      <c r="T87" s="420">
        <f t="shared" si="8"/>
        <v>0</v>
      </c>
      <c r="U87" s="420">
        <f t="shared" si="8"/>
        <v>0</v>
      </c>
      <c r="V87" s="420">
        <f t="shared" si="8"/>
        <v>0</v>
      </c>
      <c r="W87" s="420">
        <f t="shared" si="8"/>
        <v>0</v>
      </c>
      <c r="X87" s="420">
        <f t="shared" si="8"/>
        <v>0</v>
      </c>
      <c r="Y87" s="420">
        <f t="shared" si="8"/>
        <v>0</v>
      </c>
      <c r="Z87" s="420">
        <f t="shared" si="8"/>
        <v>0</v>
      </c>
      <c r="AA87" s="420">
        <f t="shared" si="8"/>
        <v>0</v>
      </c>
      <c r="AB87" s="420"/>
      <c r="AC87" s="420"/>
      <c r="AD87" s="420">
        <f>AD86</f>
        <v>40391</v>
      </c>
      <c r="AE87" s="420">
        <f>AE86</f>
        <v>38018</v>
      </c>
      <c r="AF87" s="420">
        <f>DATE(YEAR(AF84)+8,MONTH(AF84),DAY(AF84))+0.01</f>
        <v>43132.01</v>
      </c>
      <c r="AG87" s="420">
        <f>AF87</f>
        <v>43132.01</v>
      </c>
      <c r="AH87" s="420">
        <f>AG87</f>
        <v>43132.01</v>
      </c>
      <c r="AI87" s="420">
        <f t="shared" si="3"/>
        <v>43132.01</v>
      </c>
    </row>
    <row r="88" spans="1:35" ht="12.75">
      <c r="A88" s="382"/>
      <c r="B88" s="382"/>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row>
    <row r="89" spans="1:35" ht="12.75">
      <c r="A89" s="382" t="s">
        <v>471</v>
      </c>
      <c r="B89" s="382"/>
      <c r="C89" s="382" t="s">
        <v>472</v>
      </c>
      <c r="D89" s="382" t="s">
        <v>473</v>
      </c>
      <c r="E89" s="382"/>
      <c r="F89" s="382" t="s">
        <v>474</v>
      </c>
      <c r="G89" s="382"/>
      <c r="H89" s="382"/>
      <c r="I89" s="382"/>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row>
    <row r="90" spans="1:35" ht="12.75">
      <c r="A90" s="382"/>
      <c r="B90" s="421">
        <f>E66</f>
        <v>0</v>
      </c>
      <c r="C90" s="382">
        <f>IF(B90&lt;B61,IF(B55=1,1975,2525),IF(AND(B90&gt;=B61,B90&lt;B62),IF(B55=1,3750,4850),IF(B55=1,5470,7200)))</f>
        <v>1975</v>
      </c>
      <c r="D90" s="382">
        <f>IF(B90&lt;B61,IF(B55=1,2075,2675),IF(AND(B90&gt;=B61,B90&lt;B62),IF(B55=1,3950,5150),IF(B55=1,5750,7570)))</f>
        <v>2075</v>
      </c>
      <c r="E90" s="382"/>
      <c r="F90" s="382">
        <f>IF(B55=1,IF(B58&lt;B62,4850,7200),IF(B58&lt;B62,5980,9285))</f>
        <v>7200</v>
      </c>
      <c r="G90" s="382"/>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row>
    <row r="91" spans="1:35" ht="12.75">
      <c r="A91" s="382"/>
      <c r="B91" s="382"/>
      <c r="C91" s="382"/>
      <c r="D91" s="382"/>
      <c r="E91" s="382"/>
      <c r="F91" s="382"/>
      <c r="G91" s="382"/>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row>
    <row r="92" spans="1:35" ht="38.25">
      <c r="A92" s="382"/>
      <c r="B92" s="382"/>
      <c r="C92" s="382"/>
      <c r="D92" s="382"/>
      <c r="E92" s="422" t="s">
        <v>475</v>
      </c>
      <c r="F92" s="590" t="s">
        <v>476</v>
      </c>
      <c r="G92" s="590"/>
      <c r="H92" s="590"/>
      <c r="I92" s="590"/>
      <c r="J92" s="422" t="s">
        <v>477</v>
      </c>
      <c r="K92" s="422"/>
      <c r="L92" s="422"/>
      <c r="M92" s="422"/>
      <c r="N92" s="423"/>
      <c r="O92" s="382"/>
      <c r="P92" s="382"/>
      <c r="Q92" s="382"/>
      <c r="R92" s="423" t="s">
        <v>475</v>
      </c>
      <c r="S92" s="423" t="s">
        <v>476</v>
      </c>
      <c r="T92" s="423" t="s">
        <v>477</v>
      </c>
      <c r="U92" s="423" t="s">
        <v>478</v>
      </c>
      <c r="V92" s="423" t="s">
        <v>479</v>
      </c>
      <c r="W92" s="422" t="s">
        <v>480</v>
      </c>
      <c r="X92" s="422" t="s">
        <v>481</v>
      </c>
      <c r="Y92" s="424" t="s">
        <v>482</v>
      </c>
      <c r="Z92" s="423" t="s">
        <v>483</v>
      </c>
      <c r="AA92" s="423" t="s">
        <v>484</v>
      </c>
      <c r="AB92" s="423" t="s">
        <v>485</v>
      </c>
      <c r="AC92" s="423" t="s">
        <v>486</v>
      </c>
      <c r="AD92" s="423" t="s">
        <v>487</v>
      </c>
      <c r="AE92" s="382"/>
      <c r="AF92" s="382"/>
      <c r="AG92" s="382"/>
      <c r="AH92" s="382"/>
      <c r="AI92" s="382"/>
    </row>
    <row r="93" spans="1:35" ht="51">
      <c r="A93" s="382" t="s">
        <v>488</v>
      </c>
      <c r="B93" s="382" t="s">
        <v>489</v>
      </c>
      <c r="C93" s="382" t="s">
        <v>472</v>
      </c>
      <c r="D93" s="382"/>
      <c r="E93" s="422" t="s">
        <v>490</v>
      </c>
      <c r="F93" s="424" t="s">
        <v>491</v>
      </c>
      <c r="G93" s="424" t="s">
        <v>490</v>
      </c>
      <c r="H93" s="424" t="s">
        <v>492</v>
      </c>
      <c r="I93" s="424" t="s">
        <v>493</v>
      </c>
      <c r="J93" s="424" t="s">
        <v>491</v>
      </c>
      <c r="K93" s="424" t="s">
        <v>494</v>
      </c>
      <c r="L93" s="424" t="s">
        <v>490</v>
      </c>
      <c r="M93" s="424" t="s">
        <v>492</v>
      </c>
      <c r="N93" s="424" t="s">
        <v>493</v>
      </c>
      <c r="O93" s="382"/>
      <c r="P93" s="382"/>
      <c r="Q93" s="382"/>
      <c r="R93" s="423">
        <v>0</v>
      </c>
      <c r="S93" s="423">
        <v>0</v>
      </c>
      <c r="T93" s="423">
        <v>0</v>
      </c>
      <c r="U93" s="423">
        <v>0</v>
      </c>
      <c r="V93" s="423">
        <v>0</v>
      </c>
      <c r="W93" s="422">
        <v>0</v>
      </c>
      <c r="X93" s="422">
        <v>0</v>
      </c>
      <c r="Y93" s="424">
        <v>0</v>
      </c>
      <c r="Z93" s="423">
        <v>0</v>
      </c>
      <c r="AA93" s="423">
        <v>0</v>
      </c>
      <c r="AB93" s="423">
        <v>0</v>
      </c>
      <c r="AC93" s="423">
        <v>0</v>
      </c>
      <c r="AD93" s="423">
        <v>0</v>
      </c>
      <c r="AE93" s="423">
        <v>0</v>
      </c>
      <c r="AF93" s="382"/>
      <c r="AG93" s="382"/>
      <c r="AH93" s="382"/>
      <c r="AI93" s="382"/>
    </row>
    <row r="94" spans="1:35" ht="12.75">
      <c r="A94" s="382"/>
      <c r="B94" s="418">
        <f>E66</f>
        <v>0</v>
      </c>
      <c r="C94" s="382">
        <f>C90</f>
        <v>1975</v>
      </c>
      <c r="D94" s="382"/>
      <c r="E94" s="425"/>
      <c r="F94" s="425"/>
      <c r="G94" s="425"/>
      <c r="H94" s="425"/>
      <c r="I94" s="425"/>
      <c r="J94" s="425"/>
      <c r="K94" s="425"/>
      <c r="L94" s="425"/>
      <c r="M94" s="425"/>
      <c r="N94" s="382"/>
      <c r="O94" s="382"/>
      <c r="P94" s="382"/>
      <c r="Q94" s="382">
        <v>1</v>
      </c>
      <c r="R94" s="382">
        <v>1975</v>
      </c>
      <c r="S94" s="382">
        <v>3750</v>
      </c>
      <c r="T94" s="382">
        <v>5470</v>
      </c>
      <c r="U94" s="382">
        <v>2025</v>
      </c>
      <c r="V94" s="382">
        <v>3850</v>
      </c>
      <c r="W94" s="382">
        <v>5605</v>
      </c>
      <c r="X94" s="382">
        <v>3772.5</v>
      </c>
      <c r="Y94" s="382">
        <v>3850</v>
      </c>
      <c r="Z94" s="382">
        <v>5484.98</v>
      </c>
      <c r="AA94" s="382">
        <v>5605</v>
      </c>
      <c r="AB94" s="382">
        <v>2075</v>
      </c>
      <c r="AC94" s="382">
        <v>3950</v>
      </c>
      <c r="AD94" s="382">
        <v>5750</v>
      </c>
      <c r="AE94" s="382">
        <v>1</v>
      </c>
      <c r="AF94" s="382">
        <v>1</v>
      </c>
      <c r="AG94" s="382">
        <v>2525</v>
      </c>
      <c r="AH94" s="382">
        <v>4850</v>
      </c>
      <c r="AI94" s="382">
        <v>7200</v>
      </c>
    </row>
    <row r="95" spans="1:35" ht="12.75">
      <c r="A95" s="382"/>
      <c r="B95" s="418">
        <f aca="true" t="shared" si="12" ref="B95:B116">IF(E67=0,B94,E67)</f>
        <v>0</v>
      </c>
      <c r="C95" s="382">
        <f>IF(B94=B95,0,MAX(E95:N95))</f>
        <v>0</v>
      </c>
      <c r="D95" s="382" t="str">
        <f>IF(B95=35977.001,C94,IF(AND(B95=37803.001,VLOOKUP(C94,S93:AE122,13,TRUE)=1),C94," "))</f>
        <v> </v>
      </c>
      <c r="E95" s="425">
        <f>IF(B95&lt;35977.001,VLOOKUP(C94,R93:U119,4,TRUE),0)</f>
        <v>2025</v>
      </c>
      <c r="F95" s="425">
        <f>IF(B95=35977.001,VLOOKUP(C94,R93:Y119,8,TRUE),0)</f>
        <v>0</v>
      </c>
      <c r="G95" s="425">
        <f>IF(AND(B95&gt;35977.001,B95&lt;37803.001),VLOOKUP(C94,S93:V119,4,TRUE),0)</f>
        <v>0</v>
      </c>
      <c r="H95" s="425">
        <f>IF(AND(B66=1,B95=BG66,B95&gt;35977.001,B95&lt;37803.001),BH66,0)</f>
        <v>0</v>
      </c>
      <c r="I95" s="425"/>
      <c r="J95" s="425">
        <f>IF(B95=37803.001,IF(AND(B96&lt;&gt;AK94,B96&lt;&gt;AL94,B96&lt;38169,VLOOKUP(C94,S93:AE119,13,TRUE)=2),C94,VLOOKUP(C94,S93:AA119,9,TRUE)),0)</f>
        <v>0</v>
      </c>
      <c r="K95" s="425"/>
      <c r="L95" s="425">
        <f>IF(B95&gt;37803.001,VLOOKUP(C94,T93:W124,4,TRUE),0)</f>
        <v>0</v>
      </c>
      <c r="M95" s="425">
        <f>IF(AND(B95=BG66,B66=1,C66=1),MAX(BH66,VLOOKUP(C94,T93:AD122,11,TRUE)),0)</f>
        <v>0</v>
      </c>
      <c r="N95" s="382">
        <f>IF(AND(B94=BG66,B66=1,C66=2,B95&gt;37803.001),VLOOKUP(C94,T93:AD122,11,TRUE),0)</f>
        <v>0</v>
      </c>
      <c r="O95" s="382" t="str">
        <f>IF(B94=37803.001,IF(VLOOKUP(C94,S93:AE122,13,TRUE)=2,C94," ")," ")</f>
        <v> </v>
      </c>
      <c r="P95" s="382"/>
      <c r="Q95" s="382">
        <v>2</v>
      </c>
      <c r="R95" s="382">
        <v>2025</v>
      </c>
      <c r="S95" s="382">
        <v>3850</v>
      </c>
      <c r="T95" s="382">
        <v>5605</v>
      </c>
      <c r="U95" s="382">
        <v>2075</v>
      </c>
      <c r="V95" s="382">
        <v>3950</v>
      </c>
      <c r="W95" s="382">
        <v>5750</v>
      </c>
      <c r="X95" s="382">
        <v>3867.5</v>
      </c>
      <c r="Y95" s="382">
        <v>3950</v>
      </c>
      <c r="Z95" s="382">
        <v>5631.24</v>
      </c>
      <c r="AA95" s="382">
        <v>5750</v>
      </c>
      <c r="AB95" s="382">
        <v>2135</v>
      </c>
      <c r="AC95" s="382">
        <v>4070</v>
      </c>
      <c r="AD95" s="382">
        <v>5895</v>
      </c>
      <c r="AE95" s="382">
        <v>1</v>
      </c>
      <c r="AF95" s="382">
        <v>2</v>
      </c>
      <c r="AG95" s="382">
        <v>3450</v>
      </c>
      <c r="AH95" s="382">
        <v>5980</v>
      </c>
      <c r="AI95" s="382">
        <v>9285</v>
      </c>
    </row>
    <row r="96" spans="1:35" ht="12.75">
      <c r="A96" s="382"/>
      <c r="B96" s="418">
        <f t="shared" si="12"/>
        <v>0</v>
      </c>
      <c r="C96" s="382">
        <f aca="true" t="shared" si="13" ref="C96:C116">IF(B95=B96,0,MAX(E96:N96))</f>
        <v>0</v>
      </c>
      <c r="D96" s="382" t="str">
        <f>IF(B96=35977.001,C95,IF(AND(B96=37803.001,VLOOKUP(C95,S93:AE122,13,TRUE)=1),C95,IF(AND(B95=37803.001,VLOOKUP(C94,S93:AE122,13,TRUE)=2),C94," ")))</f>
        <v> </v>
      </c>
      <c r="E96" s="425">
        <f>IF(B96&lt;35977.001,VLOOKUP(C95,R93:U119,4,TRUE),0)</f>
        <v>0</v>
      </c>
      <c r="F96" s="425">
        <f>IF(B96=35977.001,VLOOKUP(C95,R93:Y119,8,TRUE),0)</f>
        <v>0</v>
      </c>
      <c r="G96" s="425">
        <f aca="true" t="shared" si="14" ref="G96:G116">IF(AND(B96&gt;35977.001,B96&lt;37803.001),VLOOKUP(C95,S94:V120,4,TRUE),0)</f>
        <v>0</v>
      </c>
      <c r="H96" s="425">
        <f aca="true" t="shared" si="15" ref="H96:H116">IF(AND(B67=1,B96=BG67,B96&gt;35977.001,B96&lt;37803.001),BH67,0)</f>
        <v>0</v>
      </c>
      <c r="I96" s="425"/>
      <c r="J96" s="425">
        <f>IF(B96=37803.001,IF(AND(B97&lt;&gt;AK94,B97&lt;&gt;AL94,B97&lt;38169,VLOOKUP(C95,S93:AE119,13,TRUE)=2),C95,VLOOKUP(C95,S93:AA119,9,TRUE)),0)</f>
        <v>0</v>
      </c>
      <c r="K96" s="425">
        <f>IF(AND(B95=37803.001,J95=C94),VLOOKUP(VLOOKUP(C95,S93:V119,4,TRUE),S93:AA119,9,TRUE),0)</f>
        <v>0</v>
      </c>
      <c r="L96" s="425">
        <f>IF(B96&gt;37803.001,VLOOKUP(C95,T93:W124,4,TRUE),0)</f>
        <v>0</v>
      </c>
      <c r="M96" s="425">
        <f>IF(AND(B96=BG67,B67=1,C67=1),MAX(BH67,VLOOKUP(C95,T93:AD122,11,TRUE)),0)</f>
        <v>0</v>
      </c>
      <c r="N96" s="382">
        <f>IF(AND(B95=BG67,B67=1,C67=2,B96&gt;37803.001),VLOOKUP(C95,T93:AD122,11,TRUE),0)</f>
        <v>0</v>
      </c>
      <c r="O96" s="382" t="str">
        <f>IF(B95=37803.001,IF(VLOOKUP(C95,S94:AE123,13,TRUE)=2,C95," ")," ")</f>
        <v> </v>
      </c>
      <c r="P96" s="382"/>
      <c r="Q96" s="382">
        <v>3</v>
      </c>
      <c r="R96" s="382">
        <v>2075</v>
      </c>
      <c r="S96" s="382">
        <v>3950</v>
      </c>
      <c r="T96" s="382">
        <v>5750</v>
      </c>
      <c r="U96" s="382">
        <v>2135</v>
      </c>
      <c r="V96" s="382">
        <v>4070</v>
      </c>
      <c r="W96" s="382">
        <v>5895</v>
      </c>
      <c r="X96" s="382">
        <v>3963.5</v>
      </c>
      <c r="Y96" s="382">
        <v>4070</v>
      </c>
      <c r="Z96" s="382">
        <v>5777.51</v>
      </c>
      <c r="AA96" s="382">
        <v>5895</v>
      </c>
      <c r="AB96" s="382">
        <v>2195</v>
      </c>
      <c r="AC96" s="382">
        <v>4190</v>
      </c>
      <c r="AD96" s="382">
        <v>6040</v>
      </c>
      <c r="AE96" s="382">
        <v>1</v>
      </c>
      <c r="AF96" s="382"/>
      <c r="AG96" s="382"/>
      <c r="AH96" s="382"/>
      <c r="AI96" s="382"/>
    </row>
    <row r="97" spans="1:35" ht="12.75">
      <c r="A97" s="382"/>
      <c r="B97" s="418">
        <f t="shared" si="12"/>
        <v>0</v>
      </c>
      <c r="C97" s="382">
        <f t="shared" si="13"/>
        <v>0</v>
      </c>
      <c r="D97" s="382" t="str">
        <f>IF(B97=35977.001,C96,IF(AND(B97=37803.001,VLOOKUP(C96,S93:AE122,13,TRUE)=1),C96,IF(AND(B96=37803.001,VLOOKUP(C95,S93:AE122,13,TRUE)=2),C95," ")))</f>
        <v> </v>
      </c>
      <c r="E97" s="425">
        <f>IF(B97&lt;35977.001,VLOOKUP(C96,R93:U119,4,TRUE),0)</f>
        <v>0</v>
      </c>
      <c r="F97" s="425">
        <f>IF(B97=35977.001,VLOOKUP(C96,R93:Y119,8,TRUE),0)</f>
        <v>0</v>
      </c>
      <c r="G97" s="425">
        <f t="shared" si="14"/>
        <v>0</v>
      </c>
      <c r="H97" s="425">
        <f t="shared" si="15"/>
        <v>0</v>
      </c>
      <c r="I97" s="425"/>
      <c r="J97" s="425">
        <f>IF(B97=37803.001,IF(AND(B98&lt;&gt;AK94,B98&lt;&gt;AL94,B98&lt;38169,VLOOKUP(C96,S93:AE119,13,TRUE)=2),C96,VLOOKUP(C96,S93:AA119,9,TRUE)),0)</f>
        <v>0</v>
      </c>
      <c r="K97" s="425">
        <f>IF(AND(B96=37803.001,J96=C95),VLOOKUP(VLOOKUP(C96,S93:V119,4,TRUE),S93:AA119,9,TRUE),0)</f>
        <v>0</v>
      </c>
      <c r="L97" s="425">
        <f>IF(B97&gt;37803.001,VLOOKUP(C96,T93:W124,4,TRUE),0)</f>
        <v>0</v>
      </c>
      <c r="M97" s="425">
        <f>IF(AND(B97=BG68,B68=1,C68=1),MAX(BH68,VLOOKUP(C96,T93:AD122,11,TRUE)),0)</f>
        <v>0</v>
      </c>
      <c r="N97" s="382">
        <f>IF(AND(B96=BG68,B68=1,C68=2,B97&gt;37803.001),VLOOKUP(C96,T93:AD122,11,TRUE),0)</f>
        <v>0</v>
      </c>
      <c r="O97" s="382" t="str">
        <f aca="true" t="shared" si="16" ref="O97:O116">IF(B96=37803.001,IF(VLOOKUP(C96,S95:AE124,13,TRUE)=2,C96," ")," ")</f>
        <v> </v>
      </c>
      <c r="P97" s="382"/>
      <c r="Q97" s="382">
        <v>4</v>
      </c>
      <c r="R97" s="382">
        <v>2135</v>
      </c>
      <c r="S97" s="382">
        <v>4070</v>
      </c>
      <c r="T97" s="382">
        <v>5895</v>
      </c>
      <c r="U97" s="382">
        <v>2195</v>
      </c>
      <c r="V97" s="382">
        <v>4190</v>
      </c>
      <c r="W97" s="382">
        <v>6040</v>
      </c>
      <c r="X97" s="382">
        <v>4078.1</v>
      </c>
      <c r="Y97" s="382">
        <v>4190</v>
      </c>
      <c r="Z97" s="382">
        <v>5952.83</v>
      </c>
      <c r="AA97" s="382">
        <v>6040</v>
      </c>
      <c r="AB97" s="382">
        <v>2255</v>
      </c>
      <c r="AC97" s="382">
        <v>4310</v>
      </c>
      <c r="AD97" s="382">
        <v>6195</v>
      </c>
      <c r="AE97" s="382">
        <v>1</v>
      </c>
      <c r="AF97" s="382"/>
      <c r="AG97" s="382"/>
      <c r="AH97" s="382"/>
      <c r="AI97" s="382"/>
    </row>
    <row r="98" spans="1:35" ht="12.75">
      <c r="A98" s="382"/>
      <c r="B98" s="418">
        <f t="shared" si="12"/>
        <v>0</v>
      </c>
      <c r="C98" s="382">
        <f t="shared" si="13"/>
        <v>0</v>
      </c>
      <c r="D98" s="382" t="str">
        <f>IF(B98=35977.001,C97,IF(AND(B98=37803.001,VLOOKUP(C97,S93:AE122,13,TRUE)=1),C97,IF(AND(B97=37803.001,VLOOKUP(C96,S93:AE122,13,TRUE)=2),C96," ")))</f>
        <v> </v>
      </c>
      <c r="E98" s="425">
        <v>0</v>
      </c>
      <c r="F98" s="425">
        <f>IF(B98=35977.001,VLOOKUP(C97,R93:Y119,8,TRUE),0)</f>
        <v>0</v>
      </c>
      <c r="G98" s="425">
        <f t="shared" si="14"/>
        <v>0</v>
      </c>
      <c r="H98" s="425">
        <f t="shared" si="15"/>
        <v>0</v>
      </c>
      <c r="I98" s="425"/>
      <c r="J98" s="425">
        <f>IF(B98=37803.001,IF(AND(B99&lt;&gt;AK94,B99&lt;&gt;AL94,B99&lt;38169,VLOOKUP(C97,S93:AE119,13,TRUE)=2),C97,VLOOKUP(C97,S93:AA119,9,TRUE)),0)</f>
        <v>0</v>
      </c>
      <c r="K98" s="425">
        <f>IF(AND(B97=37803.001,J97=C96),VLOOKUP(VLOOKUP(C97,S93:V119,4,TRUE),S93:AA119,9,TRUE),0)</f>
        <v>0</v>
      </c>
      <c r="L98" s="425">
        <f>IF(B98&gt;37803.001,VLOOKUP(C97,T93:W124,4,TRUE),0)</f>
        <v>0</v>
      </c>
      <c r="M98" s="425">
        <f>IF(AND(B98=BG69,B69=1,C69=1),MAX(BH69,VLOOKUP(C97,T93:AD122,11,TRUE)),0)</f>
        <v>0</v>
      </c>
      <c r="N98" s="382">
        <f>IF(AND(B97=BG69,B69=1,C69=2,B98&gt;37803.001),VLOOKUP(C97,T93:AD122,11,TRUE),0)</f>
        <v>0</v>
      </c>
      <c r="O98" s="382" t="str">
        <f t="shared" si="16"/>
        <v> </v>
      </c>
      <c r="P98" s="382"/>
      <c r="Q98" s="382">
        <v>5</v>
      </c>
      <c r="R98" s="382">
        <v>2195</v>
      </c>
      <c r="S98" s="382">
        <v>4190</v>
      </c>
      <c r="T98" s="382">
        <v>6040</v>
      </c>
      <c r="U98" s="382">
        <v>2255</v>
      </c>
      <c r="V98" s="382">
        <v>4310</v>
      </c>
      <c r="W98" s="382">
        <v>6195</v>
      </c>
      <c r="X98" s="382">
        <v>4192.7</v>
      </c>
      <c r="Y98" s="382">
        <v>4310</v>
      </c>
      <c r="Z98" s="382">
        <v>6128.15</v>
      </c>
      <c r="AA98" s="382">
        <v>6195</v>
      </c>
      <c r="AB98" s="382">
        <v>2315</v>
      </c>
      <c r="AC98" s="382">
        <v>4430</v>
      </c>
      <c r="AD98" s="382">
        <v>6350</v>
      </c>
      <c r="AE98" s="382">
        <v>1</v>
      </c>
      <c r="AF98" s="382"/>
      <c r="AG98" s="382"/>
      <c r="AH98" s="382"/>
      <c r="AI98" s="382"/>
    </row>
    <row r="99" spans="1:35" ht="12.75">
      <c r="A99" s="382"/>
      <c r="B99" s="418">
        <f t="shared" si="12"/>
        <v>0</v>
      </c>
      <c r="C99" s="382">
        <f t="shared" si="13"/>
        <v>0</v>
      </c>
      <c r="D99" s="382" t="str">
        <f>IF(B99=35977.001,C98,IF(AND(B99=37803.001,VLOOKUP(C98,S93:AE122,13,TRUE)=1),C98,IF(AND(B98=37803.001,VLOOKUP(C97,S93:AE122,13,TRUE)=2),C97," ")))</f>
        <v> </v>
      </c>
      <c r="E99" s="425">
        <v>0</v>
      </c>
      <c r="F99" s="425">
        <f>IF(B99=35977.001,VLOOKUP(C98,R93:Y119,8,TRUE),0)</f>
        <v>0</v>
      </c>
      <c r="G99" s="425">
        <f t="shared" si="14"/>
        <v>0</v>
      </c>
      <c r="H99" s="425">
        <f t="shared" si="15"/>
        <v>0</v>
      </c>
      <c r="I99" s="425"/>
      <c r="J99" s="425">
        <f>IF(B99=37803.001,IF(AND(B100&lt;&gt;AK94,B100&lt;&gt;AL94,B100&lt;38169,VLOOKUP(C98,S93:AE119,13,TRUE)=2),C98,VLOOKUP(C98,S93:AA119,9,TRUE)),0)</f>
        <v>0</v>
      </c>
      <c r="K99" s="425">
        <f>IF(AND(B98=37803.001,J98=C97),VLOOKUP(VLOOKUP(C98,S93:V119,4,TRUE),S93:AA119,9,TRUE),0)</f>
        <v>0</v>
      </c>
      <c r="L99" s="425">
        <f>IF(B99&gt;37803.001,VLOOKUP(C98,T93:W124,4,TRUE),0)</f>
        <v>0</v>
      </c>
      <c r="M99" s="425">
        <f>IF(AND(B99=BG70,B70=1,C70=1),MAX(BH70,VLOOKUP(C98,T93:AD122,11,TRUE)),0)</f>
        <v>0</v>
      </c>
      <c r="N99" s="382">
        <f>IF(AND(B98=BG70,B70=1,C70=2,B99&gt;37803.001),VLOOKUP(C98,T93:AD122,11,TRUE),0)</f>
        <v>0</v>
      </c>
      <c r="O99" s="382" t="str">
        <f t="shared" si="16"/>
        <v> </v>
      </c>
      <c r="P99" s="382"/>
      <c r="Q99" s="382">
        <v>6</v>
      </c>
      <c r="R99" s="382">
        <v>2255</v>
      </c>
      <c r="S99" s="382">
        <v>4310</v>
      </c>
      <c r="T99" s="382">
        <v>6195</v>
      </c>
      <c r="U99" s="382">
        <v>2315</v>
      </c>
      <c r="V99" s="382">
        <v>4430</v>
      </c>
      <c r="W99" s="382">
        <v>6350</v>
      </c>
      <c r="X99" s="382">
        <v>4307.3</v>
      </c>
      <c r="Y99" s="382">
        <v>4310</v>
      </c>
      <c r="Z99" s="382">
        <v>6304.46</v>
      </c>
      <c r="AA99" s="382">
        <v>6350</v>
      </c>
      <c r="AB99" s="382">
        <v>2375</v>
      </c>
      <c r="AC99" s="382">
        <v>4550</v>
      </c>
      <c r="AD99" s="382">
        <v>6505</v>
      </c>
      <c r="AE99" s="382">
        <v>1</v>
      </c>
      <c r="AF99" s="382"/>
      <c r="AG99" s="382"/>
      <c r="AH99" s="382"/>
      <c r="AI99" s="382"/>
    </row>
    <row r="100" spans="1:35" ht="12.75">
      <c r="A100" s="382"/>
      <c r="B100" s="418">
        <f t="shared" si="12"/>
        <v>0</v>
      </c>
      <c r="C100" s="382">
        <f t="shared" si="13"/>
        <v>0</v>
      </c>
      <c r="D100" s="382" t="str">
        <f>IF(B100=35977.001,C99,IF(AND(B100=37803.001,VLOOKUP(C99,S93:AE122,13,TRUE)=1),C99,IF(AND(B99=37803.001,VLOOKUP(C98,S93:AE122,13,TRUE)=2),C98," ")))</f>
        <v> </v>
      </c>
      <c r="E100" s="425">
        <v>0</v>
      </c>
      <c r="F100" s="425">
        <f>IF(B100=35977.001,VLOOKUP(C99,R93:Y119,8,TRUE),0)</f>
        <v>0</v>
      </c>
      <c r="G100" s="425">
        <f t="shared" si="14"/>
        <v>0</v>
      </c>
      <c r="H100" s="425">
        <f t="shared" si="15"/>
        <v>0</v>
      </c>
      <c r="I100" s="425"/>
      <c r="J100" s="425">
        <f>IF(B100=37803.001,IF(AND(B101&lt;&gt;AK94,B101&lt;&gt;AL94,B101&lt;38169,VLOOKUP(C99,S93:AE119,13,TRUE)=2),C99,VLOOKUP(C99,S93:AA119,9,TRUE)),0)</f>
        <v>0</v>
      </c>
      <c r="K100" s="425">
        <f>IF(AND(B99=37803.001,J99=C98),VLOOKUP(VLOOKUP(C99,S93:V119,4,TRUE),S93:AA119,9,TRUE),0)</f>
        <v>0</v>
      </c>
      <c r="L100" s="425">
        <f>IF(B100&gt;37803.001,VLOOKUP(C99,T93:W124,4,TRUE),0)</f>
        <v>0</v>
      </c>
      <c r="M100" s="425">
        <f>IF(AND(B100=BG71,B71=1,C71=1),MAX(BH71,VLOOKUP(C99,T93:AD122,11,TRUE)),0)</f>
        <v>0</v>
      </c>
      <c r="N100" s="382">
        <f>IF(AND(B99=BG71,B71=1,C71=2,B100&gt;37803.001),VLOOKUP(C99,T93:AD122,11,TRUE),0)</f>
        <v>0</v>
      </c>
      <c r="O100" s="382" t="str">
        <f t="shared" si="16"/>
        <v> </v>
      </c>
      <c r="P100" s="382"/>
      <c r="Q100" s="382">
        <v>7</v>
      </c>
      <c r="R100" s="382">
        <v>2315</v>
      </c>
      <c r="S100" s="382">
        <v>4430</v>
      </c>
      <c r="T100" s="382">
        <v>6350</v>
      </c>
      <c r="U100" s="382">
        <v>2375</v>
      </c>
      <c r="V100" s="382">
        <v>4550</v>
      </c>
      <c r="W100" s="382">
        <v>6505</v>
      </c>
      <c r="X100" s="382">
        <v>4421.9</v>
      </c>
      <c r="Y100" s="382">
        <v>4430</v>
      </c>
      <c r="Z100" s="382">
        <v>6479.78</v>
      </c>
      <c r="AA100" s="382">
        <v>6505</v>
      </c>
      <c r="AB100" s="382">
        <v>2450</v>
      </c>
      <c r="AC100" s="382">
        <v>4700</v>
      </c>
      <c r="AD100" s="382">
        <v>6675</v>
      </c>
      <c r="AE100" s="382">
        <v>1</v>
      </c>
      <c r="AF100" s="382"/>
      <c r="AG100" s="382"/>
      <c r="AH100" s="382"/>
      <c r="AI100" s="382"/>
    </row>
    <row r="101" spans="1:35" ht="12.75">
      <c r="A101" s="382"/>
      <c r="B101" s="418">
        <f t="shared" si="12"/>
        <v>0</v>
      </c>
      <c r="C101" s="382">
        <f t="shared" si="13"/>
        <v>0</v>
      </c>
      <c r="D101" s="382" t="str">
        <f>IF(B101=35977.001,C100,IF(AND(B101=37803.001,VLOOKUP(C100,S93:AE122,13,TRUE)=1),C100,IF(AND(B100=37803.001,VLOOKUP(C99,S93:AE122,13,TRUE)=2),C99," ")))</f>
        <v> </v>
      </c>
      <c r="E101" s="425">
        <v>0</v>
      </c>
      <c r="F101" s="425">
        <f>IF(B101=35977.001,VLOOKUP(C100,R93:Y119,8,TRUE),0)</f>
        <v>0</v>
      </c>
      <c r="G101" s="425">
        <f t="shared" si="14"/>
        <v>0</v>
      </c>
      <c r="H101" s="425">
        <f t="shared" si="15"/>
        <v>0</v>
      </c>
      <c r="I101" s="425"/>
      <c r="J101" s="425">
        <f>IF(B101=37803.001,IF(AND(B102&lt;&gt;AK94,B102&lt;&gt;AL94,B102&lt;38169,VLOOKUP(C100,S93:AE119,13,TRUE)=2),C100,VLOOKUP(C100,S93:AA119,9,TRUE)),0)</f>
        <v>0</v>
      </c>
      <c r="K101" s="425">
        <f>IF(AND(B100=37803.001,J100=C99),VLOOKUP(VLOOKUP(C100,S93:V119,4,TRUE),S93:AA119,9,TRUE),0)</f>
        <v>0</v>
      </c>
      <c r="L101" s="425">
        <f>IF(B101&gt;37803.001,VLOOKUP(C100,T93:W124,4,TRUE),0)</f>
        <v>0</v>
      </c>
      <c r="M101" s="425">
        <f>IF(AND(B101=BG72,B72=1,C72=1),MAX(BH72,VLOOKUP(C100,T93:AD122,11,TRUE)),0)</f>
        <v>0</v>
      </c>
      <c r="N101" s="382">
        <f>IF(AND(B100=BG72,B72=1,C72=2,B101&gt;37803.001),VLOOKUP(C100,T93:AD122,11,TRUE),0)</f>
        <v>0</v>
      </c>
      <c r="O101" s="382" t="str">
        <f t="shared" si="16"/>
        <v> </v>
      </c>
      <c r="P101" s="382"/>
      <c r="Q101" s="382">
        <v>8</v>
      </c>
      <c r="R101" s="382">
        <v>2375</v>
      </c>
      <c r="S101" s="382">
        <v>4550</v>
      </c>
      <c r="T101" s="382">
        <v>6505</v>
      </c>
      <c r="U101" s="382">
        <v>2450</v>
      </c>
      <c r="V101" s="382">
        <v>4700</v>
      </c>
      <c r="W101" s="382">
        <v>6675</v>
      </c>
      <c r="X101" s="382">
        <v>4536.5</v>
      </c>
      <c r="Y101" s="382">
        <v>4550</v>
      </c>
      <c r="Z101" s="382">
        <v>6655.1</v>
      </c>
      <c r="AA101" s="382">
        <v>6675</v>
      </c>
      <c r="AB101" s="382">
        <v>2525</v>
      </c>
      <c r="AC101" s="382">
        <v>4850</v>
      </c>
      <c r="AD101" s="382">
        <v>6845</v>
      </c>
      <c r="AE101" s="382">
        <v>2</v>
      </c>
      <c r="AF101" s="382"/>
      <c r="AG101" s="382"/>
      <c r="AH101" s="382"/>
      <c r="AI101" s="382"/>
    </row>
    <row r="102" spans="1:35" ht="12.75">
      <c r="A102" s="382"/>
      <c r="B102" s="418">
        <f t="shared" si="12"/>
        <v>0</v>
      </c>
      <c r="C102" s="382">
        <f t="shared" si="13"/>
        <v>0</v>
      </c>
      <c r="D102" s="382" t="str">
        <f>IF(B102=35977.001,C101,IF(AND(B102=37803.001,VLOOKUP(C101,S93:AE122,13,TRUE)=1),C101,IF(AND(B101=37803.001,VLOOKUP(C100,S93:AE122,13,TRUE)=2),C100," ")))</f>
        <v> </v>
      </c>
      <c r="E102" s="425">
        <v>0</v>
      </c>
      <c r="F102" s="425">
        <f>IF(B102=35977.001,VLOOKUP(C101,R93:Y119,8,TRUE),0)</f>
        <v>0</v>
      </c>
      <c r="G102" s="425">
        <f t="shared" si="14"/>
        <v>0</v>
      </c>
      <c r="H102" s="425">
        <f t="shared" si="15"/>
        <v>0</v>
      </c>
      <c r="I102" s="425"/>
      <c r="J102" s="425">
        <f>IF(B102=37803.001,IF(AND(B103&lt;&gt;AK94,B103&lt;&gt;AL94,B103&lt;38169,VLOOKUP(C101,S93:AE119,13,TRUE)=2),C101,VLOOKUP(C101,S93:AA119,9,TRUE)),0)</f>
        <v>0</v>
      </c>
      <c r="K102" s="425">
        <f>IF(AND(B101=37803.001,J101=C100),VLOOKUP(VLOOKUP(C101,S93:V119,4,TRUE),S93:AA119,9,TRUE),0)</f>
        <v>0</v>
      </c>
      <c r="L102" s="425">
        <f>IF(B102&gt;37803.001,VLOOKUP(C101,T93:W124,4,TRUE),0)</f>
        <v>0</v>
      </c>
      <c r="M102" s="425">
        <f>IF(AND(B102=BG73,B73=1,C73=1),MAX(BH73,VLOOKUP(C101,T93:AD122,11,TRUE)),0)</f>
        <v>0</v>
      </c>
      <c r="N102" s="382">
        <f>IF(AND(B101=BG73,B73=1,C73=2,B102&gt;37803.001),VLOOKUP(C101,T93:AD122,11,TRUE),0)</f>
        <v>0</v>
      </c>
      <c r="O102" s="382" t="str">
        <f t="shared" si="16"/>
        <v> </v>
      </c>
      <c r="P102" s="382"/>
      <c r="Q102" s="382">
        <v>9</v>
      </c>
      <c r="R102" s="382">
        <v>2450</v>
      </c>
      <c r="S102" s="382">
        <v>4700</v>
      </c>
      <c r="T102" s="382">
        <v>6675</v>
      </c>
      <c r="U102" s="382">
        <v>2525</v>
      </c>
      <c r="V102" s="382">
        <v>4850</v>
      </c>
      <c r="W102" s="382">
        <v>6845</v>
      </c>
      <c r="X102" s="382">
        <v>4680</v>
      </c>
      <c r="Y102" s="382">
        <v>4700</v>
      </c>
      <c r="Z102" s="382">
        <v>6874.5</v>
      </c>
      <c r="AA102" s="382">
        <v>7015</v>
      </c>
      <c r="AB102" s="382">
        <v>2600</v>
      </c>
      <c r="AC102" s="382">
        <v>5000</v>
      </c>
      <c r="AD102" s="382">
        <v>7015</v>
      </c>
      <c r="AE102" s="382">
        <v>1</v>
      </c>
      <c r="AF102" s="382"/>
      <c r="AG102" s="382"/>
      <c r="AH102" s="382"/>
      <c r="AI102" s="382"/>
    </row>
    <row r="103" spans="1:35" ht="12.75">
      <c r="A103" s="382"/>
      <c r="B103" s="418">
        <f t="shared" si="12"/>
        <v>0</v>
      </c>
      <c r="C103" s="382">
        <f t="shared" si="13"/>
        <v>0</v>
      </c>
      <c r="D103" s="382" t="str">
        <f>IF(B103=35977.001,C102,IF(AND(B103=37803.001,VLOOKUP(C102,S93:AE122,13,TRUE)=1),C102,IF(AND(B102=37803.001,VLOOKUP(C101,S93:AE122,13,TRUE)=2),C101," ")))</f>
        <v> </v>
      </c>
      <c r="E103" s="425">
        <v>0</v>
      </c>
      <c r="F103" s="425">
        <v>0</v>
      </c>
      <c r="G103" s="425">
        <f t="shared" si="14"/>
        <v>0</v>
      </c>
      <c r="H103" s="425">
        <f t="shared" si="15"/>
        <v>0</v>
      </c>
      <c r="I103" s="425"/>
      <c r="J103" s="425">
        <f>IF(B103=37803.001,IF(AND(B104&lt;&gt;AK94,B104&lt;&gt;AL94,B104&lt;38169,VLOOKUP(C102,S93:AE119,13,TRUE)=2),C102,VLOOKUP(C102,S93:AA119,9,TRUE)),0)</f>
        <v>0</v>
      </c>
      <c r="K103" s="425">
        <f>IF(AND(B102=37803.001,J102=C101),VLOOKUP(VLOOKUP(C102,S93:V119,4,TRUE),S93:AA119,9,TRUE),0)</f>
        <v>0</v>
      </c>
      <c r="L103" s="425">
        <f>IF(B103&gt;37803.001,VLOOKUP(C102,T93:W124,4,TRUE),0)</f>
        <v>0</v>
      </c>
      <c r="M103" s="425">
        <f>IF(AND(B103=BG74,B74=1,C74=1),MAX(BH74,VLOOKUP(C102,T93:AD122,11,TRUE)),0)</f>
        <v>0</v>
      </c>
      <c r="N103" s="382">
        <f>IF(AND(B102=BG74,B74=1,C74=2,B103&gt;37803.001),VLOOKUP(C102,T93:AD122,11,TRUE),0)</f>
        <v>0</v>
      </c>
      <c r="O103" s="382" t="str">
        <f t="shared" si="16"/>
        <v> </v>
      </c>
      <c r="P103" s="382"/>
      <c r="Q103" s="382">
        <v>10</v>
      </c>
      <c r="R103" s="382">
        <v>2525</v>
      </c>
      <c r="S103" s="382">
        <v>4850</v>
      </c>
      <c r="T103" s="382">
        <v>6845</v>
      </c>
      <c r="U103" s="382">
        <v>2600</v>
      </c>
      <c r="V103" s="382">
        <v>5000</v>
      </c>
      <c r="W103" s="382">
        <v>7015</v>
      </c>
      <c r="X103" s="382">
        <v>4822.5</v>
      </c>
      <c r="Y103" s="382">
        <v>4850</v>
      </c>
      <c r="Z103" s="382">
        <v>7093.9</v>
      </c>
      <c r="AA103" s="382">
        <v>7200</v>
      </c>
      <c r="AB103" s="382">
        <v>2675</v>
      </c>
      <c r="AC103" s="382">
        <v>5150</v>
      </c>
      <c r="AD103" s="382">
        <v>7200</v>
      </c>
      <c r="AE103" s="382">
        <v>1</v>
      </c>
      <c r="AF103" s="382"/>
      <c r="AG103" s="382"/>
      <c r="AH103" s="382"/>
      <c r="AI103" s="382"/>
    </row>
    <row r="104" spans="1:35" ht="12.75">
      <c r="A104" s="382"/>
      <c r="B104" s="418">
        <f t="shared" si="12"/>
        <v>0</v>
      </c>
      <c r="C104" s="382">
        <f t="shared" si="13"/>
        <v>0</v>
      </c>
      <c r="D104" s="382" t="str">
        <f>IF(B104=35977.001,C103,IF(AND(B104=37803.001,VLOOKUP(C103,S93:AE122,13,TRUE)=1),C103,IF(AND(B103=37803.001,VLOOKUP(C102,S93:AE122,13,TRUE)=2),C102," ")))</f>
        <v> </v>
      </c>
      <c r="E104" s="425">
        <v>0</v>
      </c>
      <c r="F104" s="425">
        <v>0</v>
      </c>
      <c r="G104" s="425">
        <f t="shared" si="14"/>
        <v>0</v>
      </c>
      <c r="H104" s="425">
        <f t="shared" si="15"/>
        <v>0</v>
      </c>
      <c r="I104" s="425"/>
      <c r="J104" s="425">
        <f>IF(B104=37803.001,IF(AND(B105&lt;&gt;AK94,B105&lt;&gt;AL94,B105&lt;38169,VLOOKUP(C103,S93:AE119,13,TRUE)=2),C103,VLOOKUP(C103,S93:AA119,9,TRUE)),0)</f>
        <v>0</v>
      </c>
      <c r="K104" s="425">
        <f>IF(AND(B103=37803.001,J103=C102),VLOOKUP(VLOOKUP(C103,S93:V119,4,TRUE),S93:AA119,9,TRUE),0)</f>
        <v>0</v>
      </c>
      <c r="L104" s="425">
        <f>IF(B104&gt;37803.001,VLOOKUP(C103,T93:W124,4,TRUE),0)</f>
        <v>0</v>
      </c>
      <c r="M104" s="425">
        <f>IF(AND(B104=BG75,B75=1,C75=1),MAX(BH75,VLOOKUP(C103,T93:AD122,11,TRUE)),0)</f>
        <v>0</v>
      </c>
      <c r="N104" s="382">
        <f>IF(AND(B103=BG75,B75=1,C75=2,B104&gt;37803.001),VLOOKUP(C103,T93:AD122,11,TRUE),0)</f>
        <v>0</v>
      </c>
      <c r="O104" s="382" t="str">
        <f t="shared" si="16"/>
        <v> </v>
      </c>
      <c r="P104" s="382"/>
      <c r="Q104" s="382">
        <v>11</v>
      </c>
      <c r="R104" s="382">
        <v>2600</v>
      </c>
      <c r="S104" s="382">
        <v>5000</v>
      </c>
      <c r="T104" s="382">
        <v>7015</v>
      </c>
      <c r="U104" s="382">
        <v>2675</v>
      </c>
      <c r="V104" s="382">
        <v>5150</v>
      </c>
      <c r="W104" s="382">
        <v>7200</v>
      </c>
      <c r="X104" s="382">
        <v>4966</v>
      </c>
      <c r="Y104" s="382">
        <v>5000</v>
      </c>
      <c r="Z104" s="382">
        <v>7313.3</v>
      </c>
      <c r="AA104" s="382">
        <v>7385</v>
      </c>
      <c r="AB104" s="382">
        <v>2750</v>
      </c>
      <c r="AC104" s="382">
        <v>5300</v>
      </c>
      <c r="AD104" s="382">
        <v>7385</v>
      </c>
      <c r="AE104" s="382">
        <v>1</v>
      </c>
      <c r="AF104" s="382"/>
      <c r="AG104" s="382"/>
      <c r="AH104" s="382"/>
      <c r="AI104" s="382"/>
    </row>
    <row r="105" spans="1:35" ht="12.75">
      <c r="A105" s="382"/>
      <c r="B105" s="418">
        <f t="shared" si="12"/>
        <v>0</v>
      </c>
      <c r="C105" s="382">
        <f t="shared" si="13"/>
        <v>0</v>
      </c>
      <c r="D105" s="382" t="str">
        <f>IF(B105=35977.001,C104,IF(AND(B105=37803.001,VLOOKUP(C104,S93:AE122,13,TRUE)=1),C104,IF(AND(B104=37803.001,VLOOKUP(C103,S93:AE122,13,TRUE)=2),C103," ")))</f>
        <v> </v>
      </c>
      <c r="E105" s="425">
        <v>0</v>
      </c>
      <c r="F105" s="425">
        <v>0</v>
      </c>
      <c r="G105" s="425">
        <f t="shared" si="14"/>
        <v>0</v>
      </c>
      <c r="H105" s="425">
        <f t="shared" si="15"/>
        <v>0</v>
      </c>
      <c r="I105" s="425"/>
      <c r="J105" s="425">
        <f>IF(B105=37803.001,IF(AND(B106&lt;&gt;AK94,B106&lt;&gt;AL94,B106&lt;38169,VLOOKUP(C104,S93:AE119,13,TRUE)=2),C104,VLOOKUP(C104,S93:AA119,9,TRUE)),0)</f>
        <v>0</v>
      </c>
      <c r="K105" s="425">
        <f>IF(AND(B104=37803.001,J104=C103),VLOOKUP(VLOOKUP(C104,S93:V119,4,TRUE),S93:AA119,9,TRUE),0)</f>
        <v>0</v>
      </c>
      <c r="L105" s="425">
        <f>IF(B105&gt;37803.001,VLOOKUP(C104,T93:W124,4,TRUE),0)</f>
        <v>0</v>
      </c>
      <c r="M105" s="425">
        <f>IF(AND(B105=BG76,B76=1,C76=1),MAX(BH76,VLOOKUP(C104,T93:AD122,11,TRUE)),0)</f>
        <v>0</v>
      </c>
      <c r="N105" s="382">
        <f>IF(AND(B104=BG76,B76=1,C76=2,B105&gt;37803.001),VLOOKUP(C104,T93:AD122,11,TRUE),0)</f>
        <v>0</v>
      </c>
      <c r="O105" s="382" t="str">
        <f t="shared" si="16"/>
        <v> </v>
      </c>
      <c r="P105" s="382"/>
      <c r="Q105" s="382">
        <v>12</v>
      </c>
      <c r="R105" s="382">
        <v>2675</v>
      </c>
      <c r="S105" s="382">
        <v>5150</v>
      </c>
      <c r="T105" s="382">
        <v>7200</v>
      </c>
      <c r="U105" s="382">
        <v>2750</v>
      </c>
      <c r="V105" s="382">
        <v>5300</v>
      </c>
      <c r="W105" s="382">
        <v>7385</v>
      </c>
      <c r="X105" s="382">
        <v>5109.5</v>
      </c>
      <c r="Y105" s="382">
        <v>5150</v>
      </c>
      <c r="Z105" s="382">
        <v>7532.7</v>
      </c>
      <c r="AA105" s="382">
        <v>7570</v>
      </c>
      <c r="AB105" s="382">
        <v>2840</v>
      </c>
      <c r="AC105" s="382">
        <v>5470</v>
      </c>
      <c r="AD105" s="382">
        <v>7570</v>
      </c>
      <c r="AE105" s="382">
        <v>1</v>
      </c>
      <c r="AF105" s="382"/>
      <c r="AG105" s="382"/>
      <c r="AH105" s="382"/>
      <c r="AI105" s="382"/>
    </row>
    <row r="106" spans="1:35" ht="12.75">
      <c r="A106" s="382"/>
      <c r="B106" s="418">
        <f t="shared" si="12"/>
        <v>0</v>
      </c>
      <c r="C106" s="382">
        <f t="shared" si="13"/>
        <v>0</v>
      </c>
      <c r="D106" s="382" t="str">
        <f>IF(B106=35977.001,C105,IF(AND(B106=37803.001,VLOOKUP(C105,S93:AE122,13,TRUE)=1),C105,IF(AND(B105=37803.001,VLOOKUP(C104,S93:AE122,13,TRUE)=2),C104," ")))</f>
        <v> </v>
      </c>
      <c r="E106" s="425">
        <v>0</v>
      </c>
      <c r="F106" s="425">
        <v>0</v>
      </c>
      <c r="G106" s="425">
        <f t="shared" si="14"/>
        <v>0</v>
      </c>
      <c r="H106" s="425">
        <f t="shared" si="15"/>
        <v>0</v>
      </c>
      <c r="I106" s="425"/>
      <c r="J106" s="425">
        <f>IF(B106=37803.001,IF(VLOOKUP(C105,S93:AE119,13,TRUE)=2,C105,VLOOKUP(C105,S93:AA119,9,TRUE)),0)</f>
        <v>0</v>
      </c>
      <c r="K106" s="425">
        <f>IF(AND(B105=37803.001,J105=C104),VLOOKUP(VLOOKUP(C105,S93:V119,4,TRUE),S93:AA119,9,TRUE),0)</f>
        <v>0</v>
      </c>
      <c r="L106" s="425">
        <f>IF(B106&gt;37803.001,VLOOKUP(C105,T93:W124,4,TRUE),0)</f>
        <v>0</v>
      </c>
      <c r="M106" s="425">
        <f>IF(AND(B106=BG77,B77=1,C77=1),MAX(BH77,VLOOKUP(C105,T93:AD122,11,TRUE)),0)</f>
        <v>0</v>
      </c>
      <c r="N106" s="382">
        <f>IF(AND(B105=BG77,B77=1,C77=2,B106&gt;37803.001),VLOOKUP(C105,T93:AD122,11,TRUE),0)</f>
        <v>0</v>
      </c>
      <c r="O106" s="382" t="str">
        <f t="shared" si="16"/>
        <v> </v>
      </c>
      <c r="P106" s="382"/>
      <c r="Q106" s="382">
        <v>13</v>
      </c>
      <c r="R106" s="382">
        <v>2750</v>
      </c>
      <c r="S106" s="382">
        <v>5300</v>
      </c>
      <c r="T106" s="382">
        <v>7385</v>
      </c>
      <c r="U106" s="382">
        <v>2840</v>
      </c>
      <c r="V106" s="382">
        <v>5470</v>
      </c>
      <c r="W106" s="382">
        <v>7570</v>
      </c>
      <c r="X106" s="382">
        <v>5253</v>
      </c>
      <c r="Y106" s="382">
        <v>5300</v>
      </c>
      <c r="Z106" s="382">
        <v>7752.1</v>
      </c>
      <c r="AA106" s="382">
        <v>7770</v>
      </c>
      <c r="AB106" s="382">
        <v>2930</v>
      </c>
      <c r="AC106" s="382">
        <v>5640</v>
      </c>
      <c r="AD106" s="382">
        <v>7770</v>
      </c>
      <c r="AE106" s="382">
        <v>2</v>
      </c>
      <c r="AF106" s="382"/>
      <c r="AG106" s="382"/>
      <c r="AH106" s="382"/>
      <c r="AI106" s="382"/>
    </row>
    <row r="107" spans="1:35" ht="12.75">
      <c r="A107" s="382"/>
      <c r="B107" s="418">
        <f t="shared" si="12"/>
        <v>0</v>
      </c>
      <c r="C107" s="382">
        <f t="shared" si="13"/>
        <v>0</v>
      </c>
      <c r="D107" s="382" t="str">
        <f>IF(B107=35977.001,C106,IF(AND(B107=37803.001,VLOOKUP(C106,S93:AE122,13,TRUE)=1),C106,IF(AND(B106=37803.001,VLOOKUP(C105,S93:AE122,13,TRUE)=2),C105," ")))</f>
        <v> </v>
      </c>
      <c r="E107" s="425">
        <v>0</v>
      </c>
      <c r="F107" s="425">
        <v>0</v>
      </c>
      <c r="G107" s="425">
        <f t="shared" si="14"/>
        <v>0</v>
      </c>
      <c r="H107" s="425">
        <f t="shared" si="15"/>
        <v>0</v>
      </c>
      <c r="I107" s="425"/>
      <c r="J107" s="425">
        <f>IF(B107=37803.001,IF(VLOOKUP(C106,S93:AE119,13,TRUE)=2,C106,VLOOKUP(C106,S93:AA119,9,TRUE)),0)</f>
        <v>0</v>
      </c>
      <c r="K107" s="425">
        <f>IF(AND(B106=37803.001,J106=C105),VLOOKUP(VLOOKUP(C106,S93:V119,4,TRUE),S93:AA119,9,TRUE),0)</f>
        <v>0</v>
      </c>
      <c r="L107" s="425">
        <f>IF(B107&gt;37803.001,VLOOKUP(C106,T93:W124,4,TRUE),0)</f>
        <v>0</v>
      </c>
      <c r="M107" s="425">
        <f>IF(AND(B107=BG78,B78=1,C78=1),MAX(BH78,VLOOKUP(C106,T93:AD122,11,TRUE)),0)</f>
        <v>0</v>
      </c>
      <c r="N107" s="382">
        <f>IF(AND(B106=BG78,B78=1,C78=2,B107&gt;37803.001),VLOOKUP(C106,T93:AD122,11,TRUE),0)</f>
        <v>0</v>
      </c>
      <c r="O107" s="382" t="str">
        <f t="shared" si="16"/>
        <v> </v>
      </c>
      <c r="P107" s="382"/>
      <c r="Q107" s="382">
        <v>14</v>
      </c>
      <c r="R107" s="382">
        <v>2840</v>
      </c>
      <c r="S107" s="382">
        <v>5470</v>
      </c>
      <c r="T107" s="382">
        <v>7570</v>
      </c>
      <c r="U107" s="382">
        <v>2930</v>
      </c>
      <c r="V107" s="382">
        <v>5640</v>
      </c>
      <c r="W107" s="382">
        <v>7770</v>
      </c>
      <c r="X107" s="382">
        <v>5424.4</v>
      </c>
      <c r="Y107" s="382">
        <v>5470</v>
      </c>
      <c r="Z107" s="382">
        <v>8000.55</v>
      </c>
      <c r="AA107" s="382">
        <v>8170</v>
      </c>
      <c r="AB107" s="382">
        <v>3020</v>
      </c>
      <c r="AC107" s="382">
        <v>5810</v>
      </c>
      <c r="AD107" s="382">
        <v>7970</v>
      </c>
      <c r="AE107" s="382">
        <v>1</v>
      </c>
      <c r="AF107" s="382"/>
      <c r="AG107" s="382"/>
      <c r="AH107" s="382"/>
      <c r="AI107" s="382"/>
    </row>
    <row r="108" spans="1:35" ht="12.75">
      <c r="A108" s="382"/>
      <c r="B108" s="418">
        <f t="shared" si="12"/>
        <v>0</v>
      </c>
      <c r="C108" s="382">
        <f t="shared" si="13"/>
        <v>0</v>
      </c>
      <c r="D108" s="382" t="str">
        <f>IF(B108=35977.001,C107,IF(AND(B108=37803.001,VLOOKUP(C107,S93:AE122,13,TRUE)=1),C107,IF(AND(B107=37803.001,VLOOKUP(C106,S93:AE122,13,TRUE)=2),C106," ")))</f>
        <v> </v>
      </c>
      <c r="E108" s="425">
        <v>0</v>
      </c>
      <c r="F108" s="425">
        <v>0</v>
      </c>
      <c r="G108" s="425">
        <f t="shared" si="14"/>
        <v>0</v>
      </c>
      <c r="H108" s="425">
        <f t="shared" si="15"/>
        <v>0</v>
      </c>
      <c r="I108" s="425"/>
      <c r="J108" s="425">
        <f>IF(B108=37803.001,IF(VLOOKUP(C107,S93:AE119,13,TRUE)=2,C107,VLOOKUP(C107,S93:AA119,9,TRUE)),0)</f>
        <v>0</v>
      </c>
      <c r="K108" s="425">
        <f>IF(AND(B107=37803.001,J107=C106),VLOOKUP(VLOOKUP(C107,S93:V119,4,TRUE),S93:AA119,9,TRUE),0)</f>
        <v>0</v>
      </c>
      <c r="L108" s="425">
        <f>IF(B108&gt;37803.001,VLOOKUP(C107,T93:W124,4,TRUE),0)</f>
        <v>0</v>
      </c>
      <c r="M108" s="425">
        <f>IF(AND(B108=BG79,B79=1,C79=1),MAX(BH79,VLOOKUP(C107,T93:AD122,11,TRUE)),0)</f>
        <v>0</v>
      </c>
      <c r="N108" s="382">
        <f>IF(AND(B107=BG79,B79=1,C79=2,B108&gt;37803.001),VLOOKUP(C107,T93:AD122,11,TRUE),0)</f>
        <v>0</v>
      </c>
      <c r="O108" s="382" t="str">
        <f t="shared" si="16"/>
        <v> </v>
      </c>
      <c r="P108" s="382"/>
      <c r="Q108" s="382">
        <v>15</v>
      </c>
      <c r="R108" s="382">
        <v>2930</v>
      </c>
      <c r="S108" s="382">
        <v>5640</v>
      </c>
      <c r="T108" s="382">
        <v>7770</v>
      </c>
      <c r="U108" s="382">
        <v>3020</v>
      </c>
      <c r="V108" s="382">
        <v>5810</v>
      </c>
      <c r="W108" s="382">
        <v>7970</v>
      </c>
      <c r="X108" s="382">
        <v>5596.8</v>
      </c>
      <c r="Y108" s="382">
        <v>5640</v>
      </c>
      <c r="Z108" s="382">
        <v>8249</v>
      </c>
      <c r="AA108" s="382">
        <v>8385</v>
      </c>
      <c r="AB108" s="382">
        <v>3110</v>
      </c>
      <c r="AC108" s="382">
        <v>5980</v>
      </c>
      <c r="AD108" s="382">
        <v>8170</v>
      </c>
      <c r="AE108" s="382">
        <v>1</v>
      </c>
      <c r="AF108" s="382"/>
      <c r="AG108" s="382"/>
      <c r="AH108" s="382"/>
      <c r="AI108" s="382"/>
    </row>
    <row r="109" spans="1:35" ht="12.75">
      <c r="A109" s="382"/>
      <c r="B109" s="418">
        <f t="shared" si="12"/>
        <v>0</v>
      </c>
      <c r="C109" s="382">
        <f t="shared" si="13"/>
        <v>0</v>
      </c>
      <c r="D109" s="382" t="str">
        <f>IF(B109=35977.001,C108,IF(AND(B109=37803.001,VLOOKUP(C108,S93:AE122,13,TRUE)=1),C108,IF(AND(B108=37803.001,VLOOKUP(C107,S93:AE122,13,TRUE)=2),C107," ")))</f>
        <v> </v>
      </c>
      <c r="E109" s="425">
        <v>0</v>
      </c>
      <c r="F109" s="425">
        <v>0</v>
      </c>
      <c r="G109" s="425">
        <f t="shared" si="14"/>
        <v>0</v>
      </c>
      <c r="H109" s="425">
        <f t="shared" si="15"/>
        <v>0</v>
      </c>
      <c r="I109" s="425"/>
      <c r="J109" s="425">
        <f>IF(B109=37803.001,IF(VLOOKUP(C108,S93:AE119,13,TRUE)=2,C108,VLOOKUP(C108,S93:AA119,9,TRUE)),0)</f>
        <v>0</v>
      </c>
      <c r="K109" s="425">
        <f>IF(AND(B108=37803.001,J108=C107),VLOOKUP(VLOOKUP(C108,S93:V119,4,TRUE),S93:AA119,9,TRUE),0)</f>
        <v>0</v>
      </c>
      <c r="L109" s="425">
        <f>IF(B109&gt;37803.001,VLOOKUP(C108,T93:W124,4,TRUE),0)</f>
        <v>0</v>
      </c>
      <c r="M109" s="425">
        <f>IF(AND(B109=BG80,B80=1,C80=1),MAX(BH80,VLOOKUP(C108,T93:AD122,11,TRUE)),0)</f>
        <v>0</v>
      </c>
      <c r="N109" s="382">
        <f>IF(AND(B108=BG80,B80=1,C80=2,B109&gt;37803.001),VLOOKUP(C108,T93:AD122,11,TRUE),0)</f>
        <v>0</v>
      </c>
      <c r="O109" s="382" t="str">
        <f t="shared" si="16"/>
        <v> </v>
      </c>
      <c r="P109" s="382"/>
      <c r="Q109" s="382">
        <v>16</v>
      </c>
      <c r="R109" s="382">
        <v>3020</v>
      </c>
      <c r="S109" s="382">
        <v>5810</v>
      </c>
      <c r="T109" s="382">
        <v>7970</v>
      </c>
      <c r="U109" s="382">
        <v>3110</v>
      </c>
      <c r="V109" s="382">
        <v>5980</v>
      </c>
      <c r="W109" s="382">
        <v>8170</v>
      </c>
      <c r="X109" s="382">
        <v>5768.2</v>
      </c>
      <c r="Y109" s="382">
        <v>5810</v>
      </c>
      <c r="Z109" s="382">
        <v>8498.45</v>
      </c>
      <c r="AA109" s="382">
        <v>8600</v>
      </c>
      <c r="AB109" s="382">
        <v>3200</v>
      </c>
      <c r="AC109" s="382">
        <v>6150</v>
      </c>
      <c r="AD109" s="382">
        <v>8385</v>
      </c>
      <c r="AE109" s="382">
        <v>1</v>
      </c>
      <c r="AF109" s="382"/>
      <c r="AG109" s="382"/>
      <c r="AH109" s="382"/>
      <c r="AI109" s="382"/>
    </row>
    <row r="110" spans="1:35" ht="12.75">
      <c r="A110" s="382"/>
      <c r="B110" s="418">
        <f t="shared" si="12"/>
        <v>0</v>
      </c>
      <c r="C110" s="382">
        <f t="shared" si="13"/>
        <v>0</v>
      </c>
      <c r="D110" s="382" t="str">
        <f>IF(B110=35977.001,C109,IF(AND(B110=37803.001,VLOOKUP(C109,S93:AE122,13,TRUE)=1),C109,IF(AND(B109=37803.001,VLOOKUP(C108,S93:AE122,13,TRUE)=2),C108," ")))</f>
        <v> </v>
      </c>
      <c r="E110" s="425">
        <v>0</v>
      </c>
      <c r="F110" s="425">
        <v>0</v>
      </c>
      <c r="G110" s="425">
        <f t="shared" si="14"/>
        <v>0</v>
      </c>
      <c r="H110" s="425">
        <f t="shared" si="15"/>
        <v>0</v>
      </c>
      <c r="I110" s="425"/>
      <c r="J110" s="425">
        <f>IF(B110=37803.001,IF(VLOOKUP(C109,S93:AE119,13,TRUE)=2,C109,VLOOKUP(C109,S93:AA119,9,TRUE)),0)</f>
        <v>0</v>
      </c>
      <c r="K110" s="425">
        <f>IF(AND(B109=37803.001,J109=C108),VLOOKUP(VLOOKUP(C109,S93:V119,4,TRUE),S93:AA119,9,TRUE),0)</f>
        <v>0</v>
      </c>
      <c r="L110" s="425">
        <f>IF(B110&gt;37803.001,VLOOKUP(C109,T93:W124,4,TRUE),0)</f>
        <v>0</v>
      </c>
      <c r="M110" s="425">
        <f>IF(AND(B110=BG81,B81=1,C81=1),MAX(BH81,VLOOKUP(C109,T93:AD122,11,TRUE)),0)</f>
        <v>0</v>
      </c>
      <c r="N110" s="382">
        <f>IF(AND(B109=BG81,B81=1,C81=2,B110&gt;37803.001),VLOOKUP(C109,T93:AD122,11,TRUE),0)</f>
        <v>0</v>
      </c>
      <c r="O110" s="382" t="str">
        <f t="shared" si="16"/>
        <v> </v>
      </c>
      <c r="P110" s="382"/>
      <c r="Q110" s="382">
        <v>17</v>
      </c>
      <c r="R110" s="382">
        <v>3110</v>
      </c>
      <c r="S110" s="382">
        <v>5980</v>
      </c>
      <c r="T110" s="382">
        <v>8170</v>
      </c>
      <c r="U110" s="382">
        <v>3200</v>
      </c>
      <c r="V110" s="382">
        <v>6150</v>
      </c>
      <c r="W110" s="382">
        <v>8385</v>
      </c>
      <c r="X110" s="382">
        <v>5940.6</v>
      </c>
      <c r="Y110" s="382">
        <v>5980</v>
      </c>
      <c r="Z110" s="382">
        <v>8746.91</v>
      </c>
      <c r="AA110" s="382">
        <v>8815</v>
      </c>
      <c r="AB110" s="382">
        <v>3290</v>
      </c>
      <c r="AC110" s="382">
        <v>6350</v>
      </c>
      <c r="AD110" s="382">
        <v>8600</v>
      </c>
      <c r="AE110" s="382">
        <v>1</v>
      </c>
      <c r="AF110" s="382"/>
      <c r="AG110" s="382"/>
      <c r="AH110" s="382"/>
      <c r="AI110" s="382"/>
    </row>
    <row r="111" spans="1:35" ht="12.75">
      <c r="A111" s="382"/>
      <c r="B111" s="418">
        <f t="shared" si="12"/>
        <v>0</v>
      </c>
      <c r="C111" s="382">
        <f t="shared" si="13"/>
        <v>0</v>
      </c>
      <c r="D111" s="382" t="str">
        <f>IF(B111=35977.001,C110,IF(AND(B111=37803.001,VLOOKUP(C110,S93:AE122,13,TRUE)=1),C110,IF(AND(B110=37803.001,VLOOKUP(C109,S93:AE122,13,TRUE)=2),C109," ")))</f>
        <v> </v>
      </c>
      <c r="E111" s="425">
        <v>0</v>
      </c>
      <c r="F111" s="425">
        <v>0</v>
      </c>
      <c r="G111" s="425">
        <f t="shared" si="14"/>
        <v>0</v>
      </c>
      <c r="H111" s="425">
        <f t="shared" si="15"/>
        <v>0</v>
      </c>
      <c r="I111" s="425"/>
      <c r="J111" s="425">
        <f>IF(B111=37803.001,IF(VLOOKUP(C110,S93:AE119,13,TRUE)=2,C110,VLOOKUP(C110,S93:AA119,9,TRUE)),0)</f>
        <v>0</v>
      </c>
      <c r="K111" s="425">
        <f>IF(AND(B110=37803.001,J110=C109),VLOOKUP(VLOOKUP(C110,S93:V119,4,TRUE),S93:AA119,9,TRUE),0)</f>
        <v>0</v>
      </c>
      <c r="L111" s="425">
        <f>IF(B111&gt;37803.001,VLOOKUP(C110,T93:W124,4,TRUE),0)</f>
        <v>0</v>
      </c>
      <c r="M111" s="425">
        <f>IF(AND(B111=BG82,B82=1,C82=1),MAX(BH82,VLOOKUP(C110,T93:AD122,11,TRUE)),0)</f>
        <v>0</v>
      </c>
      <c r="N111" s="382">
        <f>IF(AND(B110=BG82,B82=1,C82=2,B111&gt;37803.001),VLOOKUP(C110,T93:AD122,11,TRUE),0)</f>
        <v>0</v>
      </c>
      <c r="O111" s="382" t="str">
        <f t="shared" si="16"/>
        <v> </v>
      </c>
      <c r="P111" s="382"/>
      <c r="Q111" s="382">
        <v>18</v>
      </c>
      <c r="R111" s="382">
        <v>3200</v>
      </c>
      <c r="S111" s="382">
        <v>6150</v>
      </c>
      <c r="T111" s="382">
        <v>8385</v>
      </c>
      <c r="U111" s="382">
        <v>3290</v>
      </c>
      <c r="V111" s="382">
        <v>6350</v>
      </c>
      <c r="W111" s="382">
        <v>8600</v>
      </c>
      <c r="X111" s="382">
        <v>6112</v>
      </c>
      <c r="Y111" s="382">
        <v>6150</v>
      </c>
      <c r="Z111" s="382">
        <v>8995.36</v>
      </c>
      <c r="AA111" s="382">
        <v>9050</v>
      </c>
      <c r="AB111" s="382">
        <v>3340</v>
      </c>
      <c r="AC111" s="382">
        <v>6550</v>
      </c>
      <c r="AD111" s="382">
        <v>8815</v>
      </c>
      <c r="AE111" s="382">
        <v>2</v>
      </c>
      <c r="AF111" s="382"/>
      <c r="AG111" s="382"/>
      <c r="AH111" s="382"/>
      <c r="AI111" s="382"/>
    </row>
    <row r="112" spans="1:35" ht="12.75">
      <c r="A112" s="382"/>
      <c r="B112" s="418">
        <f t="shared" si="12"/>
        <v>0</v>
      </c>
      <c r="C112" s="382">
        <f t="shared" si="13"/>
        <v>0</v>
      </c>
      <c r="D112" s="382" t="str">
        <f>IF(B112=35977.001,C111,IF(AND(B112=37803.001,VLOOKUP(C111,S93:AE122,13,TRUE)=1),C111,IF(AND(B111=37803.001,VLOOKUP(C110,S93:AE122,13,TRUE)=2),C110," ")))</f>
        <v> </v>
      </c>
      <c r="E112" s="425">
        <v>0</v>
      </c>
      <c r="F112" s="425">
        <v>0</v>
      </c>
      <c r="G112" s="425">
        <f t="shared" si="14"/>
        <v>0</v>
      </c>
      <c r="H112" s="425">
        <f t="shared" si="15"/>
        <v>0</v>
      </c>
      <c r="I112" s="425"/>
      <c r="J112" s="425">
        <f>IF(B112=37803.001,IF(VLOOKUP(C111,S93:AE119,13,TRUE)=2,C111,VLOOKUP(C111,S93:AA119,9,TRUE)),0)</f>
        <v>0</v>
      </c>
      <c r="K112" s="425">
        <f>IF(AND(B111=37803.001,J111=C110),VLOOKUP(VLOOKUP(C111,S93:V119,4,TRUE),S93:AA119,9,TRUE),0)</f>
        <v>0</v>
      </c>
      <c r="L112" s="425">
        <f>IF(B112&gt;37803.001,VLOOKUP(C111,T93:W124,4,TRUE),0)</f>
        <v>0</v>
      </c>
      <c r="M112" s="425">
        <f>IF(AND(B112=BG83,B83=1,C83=1),MAX(BH83,VLOOKUP(C111,T93:AD122,11,TRUE)),0)</f>
        <v>0</v>
      </c>
      <c r="N112" s="382">
        <f>IF(AND(B111=BG83,B83=1,C83=2,B112&gt;37803.001),VLOOKUP(C111,T93:AD122,11,TRUE),0)</f>
        <v>0</v>
      </c>
      <c r="O112" s="382" t="str">
        <f t="shared" si="16"/>
        <v> </v>
      </c>
      <c r="P112" s="382"/>
      <c r="Q112" s="382">
        <v>19</v>
      </c>
      <c r="R112" s="382">
        <v>3290</v>
      </c>
      <c r="S112" s="382">
        <v>6350</v>
      </c>
      <c r="T112" s="382">
        <v>8600</v>
      </c>
      <c r="U112" s="382">
        <v>3340</v>
      </c>
      <c r="V112" s="382">
        <v>6550</v>
      </c>
      <c r="W112" s="382">
        <v>8815</v>
      </c>
      <c r="X112" s="382">
        <v>6284.4</v>
      </c>
      <c r="Y112" s="382">
        <v>6350</v>
      </c>
      <c r="Z112" s="382">
        <v>9287.89</v>
      </c>
      <c r="AA112" s="382">
        <v>9520</v>
      </c>
      <c r="AB112" s="382">
        <v>3390</v>
      </c>
      <c r="AC112" s="382">
        <v>6750</v>
      </c>
      <c r="AD112" s="382">
        <v>9050</v>
      </c>
      <c r="AE112" s="382">
        <v>1</v>
      </c>
      <c r="AF112" s="382"/>
      <c r="AG112" s="382"/>
      <c r="AH112" s="382"/>
      <c r="AI112" s="382"/>
    </row>
    <row r="113" spans="1:35" ht="12.75">
      <c r="A113" s="382"/>
      <c r="B113" s="418">
        <f t="shared" si="12"/>
        <v>0</v>
      </c>
      <c r="C113" s="382">
        <f t="shared" si="13"/>
        <v>0</v>
      </c>
      <c r="D113" s="382" t="str">
        <f>IF(B113=35977.001,C112,IF(AND(B113=37803.001,VLOOKUP(C112,S93:AE122,13,TRUE)=1),C112,IF(AND(B112=37803.001,VLOOKUP(C111,S93:AE122,13,TRUE)=2),C111," ")))</f>
        <v> </v>
      </c>
      <c r="E113" s="425">
        <v>0</v>
      </c>
      <c r="F113" s="425">
        <v>0</v>
      </c>
      <c r="G113" s="425">
        <f t="shared" si="14"/>
        <v>0</v>
      </c>
      <c r="H113" s="425">
        <f t="shared" si="15"/>
        <v>0</v>
      </c>
      <c r="I113" s="425"/>
      <c r="J113" s="425">
        <f>IF(B113=37803.001,IF(VLOOKUP(C112,S93:AE119,13,TRUE)=2,C112,VLOOKUP(C112,S93:AA119,9,TRUE)),0)</f>
        <v>0</v>
      </c>
      <c r="K113" s="425">
        <f>IF(AND(B112=37803.001,J112=C111),VLOOKUP(VLOOKUP(C112,S93:V119,4,TRUE),S93:AA119,9,TRUE),0)</f>
        <v>0</v>
      </c>
      <c r="L113" s="425">
        <f>IF(B113&gt;37803.001,VLOOKUP(C112,T93:W124,4,TRUE),0)</f>
        <v>0</v>
      </c>
      <c r="M113" s="425">
        <f>IF(AND(B113=BG84,B84=1,C84=1),MAX(BH84,VLOOKUP(C112,T93:AD122,11,TRUE)),0)</f>
        <v>0</v>
      </c>
      <c r="N113" s="382">
        <f>IF(AND(B112=BG84,B84=1,C84=2,B113&gt;37803.001),VLOOKUP(C112,T93:AD122,11,TRUE),0)</f>
        <v>0</v>
      </c>
      <c r="O113" s="382" t="str">
        <f t="shared" si="16"/>
        <v> </v>
      </c>
      <c r="P113" s="382"/>
      <c r="Q113" s="382">
        <v>20</v>
      </c>
      <c r="R113" s="382">
        <v>3340</v>
      </c>
      <c r="S113" s="382">
        <v>6550</v>
      </c>
      <c r="T113" s="382">
        <v>8815</v>
      </c>
      <c r="U113" s="382">
        <v>3390</v>
      </c>
      <c r="V113" s="382">
        <v>6750</v>
      </c>
      <c r="W113" s="382">
        <v>9050</v>
      </c>
      <c r="X113" s="382">
        <v>6379.4</v>
      </c>
      <c r="Y113" s="382">
        <v>6550</v>
      </c>
      <c r="Z113" s="382">
        <v>9580.42</v>
      </c>
      <c r="AA113" s="382">
        <v>9775</v>
      </c>
      <c r="AB113" s="382">
        <v>3440</v>
      </c>
      <c r="AC113" s="382">
        <v>6950</v>
      </c>
      <c r="AD113" s="382">
        <v>9285</v>
      </c>
      <c r="AE113" s="382">
        <v>1</v>
      </c>
      <c r="AF113" s="382"/>
      <c r="AG113" s="382"/>
      <c r="AH113" s="382"/>
      <c r="AI113" s="382"/>
    </row>
    <row r="114" spans="1:35" ht="12.75">
      <c r="A114" s="382"/>
      <c r="B114" s="418">
        <f t="shared" si="12"/>
        <v>0</v>
      </c>
      <c r="C114" s="382">
        <f t="shared" si="13"/>
        <v>0</v>
      </c>
      <c r="D114" s="382" t="str">
        <f>IF(B114=35977.001,C113,IF(AND(B114=37803.001,VLOOKUP(C113,S93:AE122,13,TRUE)=1),C113,IF(AND(B113=37803.001,VLOOKUP(C112,S93:AE122,13,TRUE)=2),C112," ")))</f>
        <v> </v>
      </c>
      <c r="E114" s="425">
        <v>0</v>
      </c>
      <c r="F114" s="425">
        <v>0</v>
      </c>
      <c r="G114" s="425">
        <f t="shared" si="14"/>
        <v>0</v>
      </c>
      <c r="H114" s="425">
        <f t="shared" si="15"/>
        <v>0</v>
      </c>
      <c r="I114" s="425"/>
      <c r="J114" s="425">
        <f>IF(B114=37803.001,IF(VLOOKUP(C113,S93:AE119,13,TRUE)=2,C113,VLOOKUP(C113,S93:AA119,9,TRUE)),0)</f>
        <v>0</v>
      </c>
      <c r="K114" s="425">
        <f>IF(AND(B113=37803.001,J113=C112),VLOOKUP(VLOOKUP(C113,S93:V119,4,TRUE),S93:AA119,9,TRUE),0)</f>
        <v>0</v>
      </c>
      <c r="L114" s="425">
        <f>IF(B114&gt;37803.001,VLOOKUP(C113,T93:W124,4,TRUE),0)</f>
        <v>0</v>
      </c>
      <c r="M114" s="425">
        <f>IF(AND(B114=BG85,B85=1,C85=1),MAX(BH85,VLOOKUP(C113,T93:AD122,11,TRUE)),0)</f>
        <v>0</v>
      </c>
      <c r="N114" s="382">
        <f>IF(AND(B113=BG85,B85=1,C85=2,B114&gt;37803.001),VLOOKUP(C113,T93:AD122,11,TRUE),0)</f>
        <v>0</v>
      </c>
      <c r="O114" s="382" t="str">
        <f t="shared" si="16"/>
        <v> </v>
      </c>
      <c r="P114" s="382"/>
      <c r="Q114" s="382">
        <v>21</v>
      </c>
      <c r="R114" s="382">
        <v>3390</v>
      </c>
      <c r="S114" s="382">
        <v>6750</v>
      </c>
      <c r="T114" s="382">
        <v>9050</v>
      </c>
      <c r="U114" s="382">
        <v>3440</v>
      </c>
      <c r="V114" s="382">
        <v>6950</v>
      </c>
      <c r="W114" s="382">
        <v>9285</v>
      </c>
      <c r="X114" s="382">
        <v>6475.4</v>
      </c>
      <c r="Y114" s="382">
        <v>6550</v>
      </c>
      <c r="Z114" s="382">
        <v>9872.96</v>
      </c>
      <c r="AA114" s="382">
        <v>10030</v>
      </c>
      <c r="AB114" s="382">
        <v>3490</v>
      </c>
      <c r="AC114" s="382">
        <v>7150</v>
      </c>
      <c r="AD114" s="382">
        <v>9520</v>
      </c>
      <c r="AE114" s="382">
        <v>1</v>
      </c>
      <c r="AF114" s="382"/>
      <c r="AG114" s="382"/>
      <c r="AH114" s="382"/>
      <c r="AI114" s="382"/>
    </row>
    <row r="115" spans="1:35" ht="12.75">
      <c r="A115" s="382"/>
      <c r="B115" s="418">
        <f t="shared" si="12"/>
        <v>0</v>
      </c>
      <c r="C115" s="382">
        <f t="shared" si="13"/>
        <v>0</v>
      </c>
      <c r="D115" s="382" t="str">
        <f>IF(B115=35977.001,C114,IF(AND(B115=37803.001,VLOOKUP(C114,S93:AE122,13,TRUE)=1),C114,IF(AND(B114=37803.001,VLOOKUP(C113,S93:AE122,13,TRUE)=2),C113," ")))</f>
        <v> </v>
      </c>
      <c r="E115" s="425">
        <v>0</v>
      </c>
      <c r="F115" s="425">
        <v>0</v>
      </c>
      <c r="G115" s="425">
        <f t="shared" si="14"/>
        <v>0</v>
      </c>
      <c r="H115" s="425">
        <f t="shared" si="15"/>
        <v>0</v>
      </c>
      <c r="I115" s="425"/>
      <c r="J115" s="425">
        <f>IF(B115=37803.001,IF(VLOOKUP(C114,S93:AE119,13,TRUE)=2,C114,VLOOKUP(C114,S93:AA119,9,TRUE)),0)</f>
        <v>0</v>
      </c>
      <c r="K115" s="425">
        <f>IF(AND(B114=37803.001,J114=C113),VLOOKUP(VLOOKUP(C114,S93:V119,4,TRUE),S93:AA119,9,TRUE),0)</f>
        <v>0</v>
      </c>
      <c r="L115" s="425">
        <f>IF(B115&gt;37803.001,VLOOKUP(C114,T93:W124,4,TRUE),0)</f>
        <v>0</v>
      </c>
      <c r="M115" s="425">
        <f>IF(AND(B115=BG86,B86=1,C86=1),MAX(BH86,VLOOKUP(C114,T93:AD122,11,TRUE)),0)</f>
        <v>0</v>
      </c>
      <c r="N115" s="382">
        <f>IF(AND(B114=BG86,B86=1,C86=2,B115&gt;37803.001),VLOOKUP(C114,T93:AD122,11,TRUE),0)</f>
        <v>0</v>
      </c>
      <c r="O115" s="382" t="str">
        <f t="shared" si="16"/>
        <v> </v>
      </c>
      <c r="P115" s="382"/>
      <c r="Q115" s="382">
        <v>22</v>
      </c>
      <c r="R115" s="382">
        <v>3440</v>
      </c>
      <c r="S115" s="382">
        <v>6950</v>
      </c>
      <c r="T115" s="382">
        <v>9285</v>
      </c>
      <c r="U115" s="382">
        <v>3490</v>
      </c>
      <c r="V115" s="382">
        <v>7150</v>
      </c>
      <c r="W115" s="382">
        <v>9520</v>
      </c>
      <c r="X115" s="382">
        <v>6570.4</v>
      </c>
      <c r="Y115" s="382">
        <v>6750</v>
      </c>
      <c r="Z115" s="382">
        <v>10165.49</v>
      </c>
      <c r="AA115" s="382">
        <v>10285</v>
      </c>
      <c r="AB115" s="382">
        <v>3540</v>
      </c>
      <c r="AC115" s="382">
        <v>7400</v>
      </c>
      <c r="AD115" s="382">
        <v>9775</v>
      </c>
      <c r="AE115" s="382">
        <v>1</v>
      </c>
      <c r="AF115" s="382"/>
      <c r="AG115" s="382"/>
      <c r="AH115" s="382"/>
      <c r="AI115" s="382"/>
    </row>
    <row r="116" spans="1:35" ht="12.75">
      <c r="A116" s="382"/>
      <c r="B116" s="418">
        <f t="shared" si="12"/>
        <v>0</v>
      </c>
      <c r="C116" s="382">
        <f t="shared" si="13"/>
        <v>0</v>
      </c>
      <c r="D116" s="382" t="str">
        <f>IF(B116=35977.001,C115,IF(AND(B116=37803.001,VLOOKUP(C115,S93:AE122,13,TRUE)=1),C115,IF(AND(B115=37803.001,VLOOKUP(C114,S93:AE122,13,TRUE)=2),C114," ")))</f>
        <v> </v>
      </c>
      <c r="E116" s="425">
        <v>0</v>
      </c>
      <c r="F116" s="425">
        <v>0</v>
      </c>
      <c r="G116" s="425">
        <f t="shared" si="14"/>
        <v>0</v>
      </c>
      <c r="H116" s="425">
        <f t="shared" si="15"/>
        <v>0</v>
      </c>
      <c r="I116" s="425"/>
      <c r="J116" s="425">
        <v>0</v>
      </c>
      <c r="K116" s="425">
        <f>IF(AND(B115=37803.001,J115=C114),VLOOKUP(VLOOKUP(C115,S93:V119,4,TRUE),S93:AA119,9,TRUE),0)</f>
        <v>0</v>
      </c>
      <c r="L116" s="425">
        <f>IF(B116&gt;37803.001,VLOOKUP(C115,T93:W124,4,TRUE),0)</f>
        <v>0</v>
      </c>
      <c r="M116" s="425">
        <f>IF(AND(B116=BG87,B87=1,C87=1),MAX(BH87,VLOOKUP(C115,T93:AD122,11,TRUE)),0)</f>
        <v>0</v>
      </c>
      <c r="N116" s="382">
        <f>IF(AND(B115=BG87,B87=1,C87=2,B116&gt;37803.001),VLOOKUP(C115,T93:AD122,11,TRUE),0)</f>
        <v>0</v>
      </c>
      <c r="O116" s="382" t="str">
        <f t="shared" si="16"/>
        <v> </v>
      </c>
      <c r="P116" s="382"/>
      <c r="Q116" s="382">
        <v>23</v>
      </c>
      <c r="R116" s="382">
        <v>3490</v>
      </c>
      <c r="S116" s="382">
        <v>7150</v>
      </c>
      <c r="T116" s="425">
        <v>9520</v>
      </c>
      <c r="U116" s="425">
        <v>3540</v>
      </c>
      <c r="V116" s="425">
        <v>7400</v>
      </c>
      <c r="W116" s="425">
        <v>9775</v>
      </c>
      <c r="X116" s="425">
        <v>6666.4</v>
      </c>
      <c r="Y116" s="425">
        <v>6750</v>
      </c>
      <c r="Z116" s="425">
        <v>10458.02</v>
      </c>
      <c r="AA116" s="425">
        <v>10565</v>
      </c>
      <c r="AB116" s="425">
        <v>3590</v>
      </c>
      <c r="AC116" s="425">
        <v>7650</v>
      </c>
      <c r="AD116" s="425">
        <v>10030</v>
      </c>
      <c r="AE116" s="382">
        <v>1</v>
      </c>
      <c r="AF116" s="382"/>
      <c r="AG116" s="382"/>
      <c r="AH116" s="382"/>
      <c r="AI116" s="382"/>
    </row>
    <row r="117" spans="1:35" ht="12.75">
      <c r="A117" s="382"/>
      <c r="B117" s="382"/>
      <c r="C117" s="382"/>
      <c r="D117" s="382"/>
      <c r="E117" s="425"/>
      <c r="F117" s="425"/>
      <c r="G117" s="425"/>
      <c r="H117" s="425"/>
      <c r="I117" s="425"/>
      <c r="J117" s="425"/>
      <c r="K117" s="425"/>
      <c r="L117" s="425"/>
      <c r="M117" s="425"/>
      <c r="N117" s="382"/>
      <c r="O117" s="382"/>
      <c r="P117" s="382"/>
      <c r="Q117" s="382">
        <v>24</v>
      </c>
      <c r="R117" s="382">
        <v>3540</v>
      </c>
      <c r="S117" s="382">
        <v>7400</v>
      </c>
      <c r="T117" s="425">
        <v>9775</v>
      </c>
      <c r="U117" s="425">
        <v>3590</v>
      </c>
      <c r="V117" s="425">
        <v>7650</v>
      </c>
      <c r="W117" s="425">
        <v>10030</v>
      </c>
      <c r="X117" s="425">
        <v>6761.4</v>
      </c>
      <c r="Y117" s="425">
        <v>6950</v>
      </c>
      <c r="Z117" s="425">
        <v>10823.68</v>
      </c>
      <c r="AA117" s="425">
        <v>10845</v>
      </c>
      <c r="AB117" s="425">
        <v>3640</v>
      </c>
      <c r="AC117" s="425">
        <v>7900</v>
      </c>
      <c r="AD117" s="425">
        <v>10285</v>
      </c>
      <c r="AE117" s="382">
        <v>2</v>
      </c>
      <c r="AF117" s="382"/>
      <c r="AG117" s="382"/>
      <c r="AH117" s="382"/>
      <c r="AI117" s="382"/>
    </row>
    <row r="118" spans="1:35" ht="12.75">
      <c r="A118" s="382"/>
      <c r="B118" s="382"/>
      <c r="C118" s="382"/>
      <c r="D118" s="382"/>
      <c r="E118" s="382"/>
      <c r="F118" s="382"/>
      <c r="G118" s="382"/>
      <c r="H118" s="382"/>
      <c r="I118" s="382"/>
      <c r="J118" s="382"/>
      <c r="K118" s="382"/>
      <c r="L118" s="382"/>
      <c r="M118" s="382"/>
      <c r="N118" s="382"/>
      <c r="O118" s="382"/>
      <c r="P118" s="382"/>
      <c r="Q118" s="382">
        <v>25</v>
      </c>
      <c r="R118" s="382">
        <v>3590</v>
      </c>
      <c r="S118" s="382">
        <v>7650</v>
      </c>
      <c r="T118" s="425">
        <v>10030</v>
      </c>
      <c r="U118" s="425">
        <v>3640</v>
      </c>
      <c r="V118" s="425">
        <v>7900</v>
      </c>
      <c r="W118" s="425">
        <v>10285</v>
      </c>
      <c r="X118" s="425">
        <v>6857.4</v>
      </c>
      <c r="Y118" s="425">
        <v>6950</v>
      </c>
      <c r="Z118" s="425">
        <v>11189.35</v>
      </c>
      <c r="AA118" s="425">
        <v>11440</v>
      </c>
      <c r="AB118" s="425">
        <v>3690</v>
      </c>
      <c r="AC118" s="425">
        <v>8150</v>
      </c>
      <c r="AD118" s="425">
        <v>10565</v>
      </c>
      <c r="AE118" s="382">
        <v>1</v>
      </c>
      <c r="AF118" s="382"/>
      <c r="AG118" s="382"/>
      <c r="AH118" s="382"/>
      <c r="AI118" s="382"/>
    </row>
    <row r="119" spans="1:35" ht="12.75">
      <c r="A119" s="382"/>
      <c r="B119" s="382"/>
      <c r="C119" s="382"/>
      <c r="D119" s="382"/>
      <c r="E119" s="382"/>
      <c r="F119" s="382"/>
      <c r="G119" s="382"/>
      <c r="H119" s="382"/>
      <c r="I119" s="382"/>
      <c r="J119" s="382"/>
      <c r="K119" s="382"/>
      <c r="L119" s="382"/>
      <c r="M119" s="382"/>
      <c r="N119" s="382"/>
      <c r="O119" s="382"/>
      <c r="P119" s="382"/>
      <c r="Q119" s="382">
        <v>26</v>
      </c>
      <c r="R119" s="382">
        <v>3640</v>
      </c>
      <c r="S119" s="382">
        <v>7900</v>
      </c>
      <c r="T119" s="425">
        <v>10285</v>
      </c>
      <c r="U119" s="425">
        <v>3690</v>
      </c>
      <c r="V119" s="425">
        <v>8150</v>
      </c>
      <c r="W119" s="425">
        <v>10565</v>
      </c>
      <c r="X119" s="425">
        <v>6952.4</v>
      </c>
      <c r="Y119" s="425">
        <v>7150</v>
      </c>
      <c r="Z119" s="425">
        <v>11555.01</v>
      </c>
      <c r="AA119" s="425">
        <v>11755</v>
      </c>
      <c r="AB119" s="425">
        <v>3740</v>
      </c>
      <c r="AC119" s="425">
        <v>8400</v>
      </c>
      <c r="AD119" s="425">
        <v>10845</v>
      </c>
      <c r="AE119" s="382">
        <v>1</v>
      </c>
      <c r="AF119" s="382"/>
      <c r="AG119" s="382"/>
      <c r="AH119" s="382"/>
      <c r="AI119" s="382"/>
    </row>
    <row r="120" spans="1:35" ht="20.25">
      <c r="A120" s="425"/>
      <c r="B120" s="425"/>
      <c r="C120" s="425"/>
      <c r="D120" s="425"/>
      <c r="E120" s="426"/>
      <c r="F120" s="425"/>
      <c r="G120" s="425"/>
      <c r="H120" s="425"/>
      <c r="I120" s="425"/>
      <c r="J120" s="425"/>
      <c r="K120" s="425"/>
      <c r="L120" s="425"/>
      <c r="M120" s="425"/>
      <c r="N120" s="425"/>
      <c r="O120" s="425"/>
      <c r="P120" s="425"/>
      <c r="Q120" s="425"/>
      <c r="R120" s="425"/>
      <c r="S120" s="425"/>
      <c r="T120" s="425">
        <v>10565</v>
      </c>
      <c r="U120" s="425"/>
      <c r="V120" s="425"/>
      <c r="W120" s="425">
        <v>10845</v>
      </c>
      <c r="X120" s="425"/>
      <c r="Y120" s="425"/>
      <c r="Z120" s="425"/>
      <c r="AA120" s="425"/>
      <c r="AB120" s="425"/>
      <c r="AC120" s="425"/>
      <c r="AD120" s="425">
        <v>11125</v>
      </c>
      <c r="AE120" s="425"/>
      <c r="AF120" s="425"/>
      <c r="AG120" s="425"/>
      <c r="AH120" s="425"/>
      <c r="AI120" s="425"/>
    </row>
    <row r="121" spans="1:35" ht="12.75">
      <c r="A121" s="425"/>
      <c r="B121" s="425"/>
      <c r="C121" s="427"/>
      <c r="D121" s="427"/>
      <c r="E121" s="427"/>
      <c r="F121" s="427"/>
      <c r="G121" s="427"/>
      <c r="H121" s="427"/>
      <c r="I121" s="427"/>
      <c r="J121" s="427"/>
      <c r="K121" s="427"/>
      <c r="L121" s="427"/>
      <c r="M121" s="427"/>
      <c r="N121" s="427"/>
      <c r="O121" s="427"/>
      <c r="P121" s="427"/>
      <c r="Q121" s="427"/>
      <c r="R121" s="427"/>
      <c r="S121" s="427"/>
      <c r="T121" s="425">
        <v>10845</v>
      </c>
      <c r="U121" s="427"/>
      <c r="V121" s="427"/>
      <c r="W121" s="425">
        <v>11125</v>
      </c>
      <c r="X121" s="427"/>
      <c r="Y121" s="427"/>
      <c r="Z121" s="427"/>
      <c r="AA121" s="425"/>
      <c r="AB121" s="425"/>
      <c r="AC121" s="425"/>
      <c r="AD121" s="425">
        <v>11440</v>
      </c>
      <c r="AE121" s="425"/>
      <c r="AF121" s="425"/>
      <c r="AG121" s="425"/>
      <c r="AH121" s="425"/>
      <c r="AI121" s="425"/>
    </row>
    <row r="122" spans="1:35" ht="12.75">
      <c r="A122" s="425"/>
      <c r="B122" s="425"/>
      <c r="C122" s="425"/>
      <c r="D122" s="425"/>
      <c r="E122" s="425"/>
      <c r="F122" s="425"/>
      <c r="G122" s="425"/>
      <c r="H122" s="425"/>
      <c r="I122" s="425"/>
      <c r="J122" s="425"/>
      <c r="K122" s="425"/>
      <c r="L122" s="425"/>
      <c r="M122" s="425"/>
      <c r="N122" s="425"/>
      <c r="O122" s="425"/>
      <c r="P122" s="425"/>
      <c r="Q122" s="425"/>
      <c r="R122" s="425"/>
      <c r="S122" s="425"/>
      <c r="T122" s="425">
        <v>11125</v>
      </c>
      <c r="U122" s="425"/>
      <c r="V122" s="425"/>
      <c r="W122" s="425">
        <v>11440</v>
      </c>
      <c r="X122" s="425"/>
      <c r="Y122" s="425"/>
      <c r="Z122" s="425"/>
      <c r="AA122" s="425"/>
      <c r="AB122" s="425"/>
      <c r="AC122" s="425"/>
      <c r="AD122" s="425">
        <v>11755</v>
      </c>
      <c r="AE122" s="425"/>
      <c r="AF122" s="425"/>
      <c r="AG122" s="425"/>
      <c r="AH122" s="425"/>
      <c r="AI122" s="425"/>
    </row>
    <row r="123" spans="1:35" ht="12.75">
      <c r="A123" s="425"/>
      <c r="B123" s="425"/>
      <c r="C123" s="427"/>
      <c r="D123" s="427"/>
      <c r="E123" s="425"/>
      <c r="F123" s="427"/>
      <c r="G123" s="427"/>
      <c r="H123" s="427"/>
      <c r="I123" s="427"/>
      <c r="J123" s="427"/>
      <c r="K123" s="427"/>
      <c r="L123" s="427"/>
      <c r="M123" s="427"/>
      <c r="N123" s="427"/>
      <c r="O123" s="427"/>
      <c r="P123" s="427"/>
      <c r="Q123" s="427"/>
      <c r="R123" s="427"/>
      <c r="S123" s="427"/>
      <c r="T123" s="425">
        <v>11440</v>
      </c>
      <c r="U123" s="427"/>
      <c r="V123" s="427"/>
      <c r="W123" s="425">
        <v>11755</v>
      </c>
      <c r="X123" s="427"/>
      <c r="Y123" s="427"/>
      <c r="Z123" s="427"/>
      <c r="AA123" s="425"/>
      <c r="AB123" s="425"/>
      <c r="AC123" s="425"/>
      <c r="AD123" s="425">
        <v>12070</v>
      </c>
      <c r="AE123" s="425"/>
      <c r="AF123" s="425"/>
      <c r="AG123" s="425"/>
      <c r="AH123" s="425"/>
      <c r="AI123" s="425"/>
    </row>
    <row r="124" spans="1:35" ht="12.75">
      <c r="A124" s="2"/>
      <c r="B124" s="2"/>
      <c r="C124" s="428"/>
      <c r="D124" s="428"/>
      <c r="E124" s="428"/>
      <c r="F124" s="428"/>
      <c r="G124" s="428"/>
      <c r="H124" s="428"/>
      <c r="I124" s="428"/>
      <c r="J124" s="428"/>
      <c r="K124" s="428"/>
      <c r="L124" s="428"/>
      <c r="M124" s="428"/>
      <c r="N124" s="428"/>
      <c r="O124" s="428"/>
      <c r="P124" s="428"/>
      <c r="Q124" s="428"/>
      <c r="R124" s="428"/>
      <c r="S124" s="428"/>
      <c r="T124" s="425">
        <v>11755</v>
      </c>
      <c r="U124" s="429"/>
      <c r="V124" s="429"/>
      <c r="W124" s="425">
        <v>12070</v>
      </c>
      <c r="X124" s="429"/>
      <c r="Y124" s="429"/>
      <c r="Z124" s="429"/>
      <c r="AA124" s="425"/>
      <c r="AB124" s="425"/>
      <c r="AC124" s="425"/>
      <c r="AD124" s="425">
        <v>12385</v>
      </c>
      <c r="AE124" s="2"/>
      <c r="AF124" s="2"/>
      <c r="AG124" s="2"/>
      <c r="AH124" s="2"/>
      <c r="AI124" s="2"/>
    </row>
    <row r="125" spans="1:35" ht="15.75">
      <c r="A125" s="2"/>
      <c r="B125" s="2"/>
      <c r="C125" s="430"/>
      <c r="D125" s="430"/>
      <c r="E125" s="430"/>
      <c r="F125" s="430"/>
      <c r="G125" s="430"/>
      <c r="H125" s="430"/>
      <c r="I125" s="430"/>
      <c r="J125" s="430"/>
      <c r="K125" s="430"/>
      <c r="L125" s="430"/>
      <c r="M125" s="430"/>
      <c r="N125" s="430"/>
      <c r="O125" s="430"/>
      <c r="P125" s="430"/>
      <c r="Q125" s="430"/>
      <c r="R125" s="430"/>
      <c r="S125" s="430"/>
      <c r="T125" s="431"/>
      <c r="U125" s="430"/>
      <c r="V125" s="430"/>
      <c r="W125" s="431"/>
      <c r="X125" s="430"/>
      <c r="Y125" s="430"/>
      <c r="Z125" s="430"/>
      <c r="AA125" s="2"/>
      <c r="AB125" s="2"/>
      <c r="AC125" s="2"/>
      <c r="AD125" s="2"/>
      <c r="AE125" s="2"/>
      <c r="AF125" s="2"/>
      <c r="AG125" s="2"/>
      <c r="AH125" s="2"/>
      <c r="AI125" s="2"/>
    </row>
    <row r="126" spans="1:35" ht="15.75">
      <c r="A126" s="2"/>
      <c r="B126" s="2"/>
      <c r="C126" s="430"/>
      <c r="D126" s="430"/>
      <c r="E126" s="430"/>
      <c r="F126" s="430"/>
      <c r="G126" s="430"/>
      <c r="H126" s="430"/>
      <c r="I126" s="430"/>
      <c r="J126" s="430"/>
      <c r="K126" s="430"/>
      <c r="L126" s="430"/>
      <c r="M126" s="430"/>
      <c r="N126" s="430"/>
      <c r="O126" s="430"/>
      <c r="P126" s="430"/>
      <c r="Q126" s="430"/>
      <c r="R126" s="430"/>
      <c r="S126" s="430"/>
      <c r="T126" s="431"/>
      <c r="U126" s="430"/>
      <c r="V126" s="430"/>
      <c r="W126" s="430"/>
      <c r="X126" s="430"/>
      <c r="Y126" s="430"/>
      <c r="Z126" s="431"/>
      <c r="AA126" s="2"/>
      <c r="AB126" s="2"/>
      <c r="AC126" s="2"/>
      <c r="AD126" s="2"/>
      <c r="AE126" s="2"/>
      <c r="AF126" s="2"/>
      <c r="AG126" s="2"/>
      <c r="AH126" s="2"/>
      <c r="AI126" s="2"/>
    </row>
    <row r="127" spans="1:35" ht="15.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431"/>
      <c r="AA127" s="2"/>
      <c r="AB127" s="2"/>
      <c r="AC127" s="2"/>
      <c r="AD127" s="2"/>
      <c r="AE127" s="2"/>
      <c r="AF127" s="2"/>
      <c r="AG127" s="2"/>
      <c r="AH127" s="2"/>
      <c r="AI127" s="2"/>
    </row>
    <row r="128" spans="1:35" ht="15.75">
      <c r="A128" s="432" t="s">
        <v>495</v>
      </c>
      <c r="B128" s="432"/>
      <c r="C128" s="432"/>
      <c r="D128" s="432"/>
      <c r="E128" s="432"/>
      <c r="F128" s="432"/>
      <c r="G128" s="432"/>
      <c r="H128" s="432"/>
      <c r="I128" s="432"/>
      <c r="J128" s="432"/>
      <c r="K128" s="432"/>
      <c r="L128" s="432"/>
      <c r="M128" s="432"/>
      <c r="N128" s="432"/>
      <c r="O128" s="432"/>
      <c r="P128" s="432"/>
      <c r="Q128" s="432"/>
      <c r="R128" s="432"/>
      <c r="S128" s="432"/>
      <c r="T128" s="432"/>
      <c r="U128" s="432"/>
      <c r="V128" s="432"/>
      <c r="W128" s="432"/>
      <c r="X128" s="432"/>
      <c r="Y128" s="432"/>
      <c r="Z128" s="431"/>
      <c r="AA128" s="432"/>
      <c r="AB128" s="432"/>
      <c r="AC128" s="432"/>
      <c r="AD128" s="432"/>
      <c r="AE128" s="432"/>
      <c r="AF128" s="432"/>
      <c r="AG128" s="432"/>
      <c r="AH128" s="432"/>
      <c r="AI128" s="432"/>
    </row>
    <row r="129" spans="1:35" ht="20.25">
      <c r="A129" s="433" t="s">
        <v>459</v>
      </c>
      <c r="B129" s="433">
        <f>B55</f>
        <v>1</v>
      </c>
      <c r="C129" s="433" t="s">
        <v>460</v>
      </c>
      <c r="D129" s="433"/>
      <c r="E129" s="434">
        <v>2</v>
      </c>
      <c r="F129" s="433"/>
      <c r="G129" s="433"/>
      <c r="H129" s="433"/>
      <c r="I129" s="433"/>
      <c r="J129" s="433"/>
      <c r="K129" s="433"/>
      <c r="L129" s="433"/>
      <c r="M129" s="433"/>
      <c r="N129" s="433"/>
      <c r="O129" s="433"/>
      <c r="P129" s="433"/>
      <c r="Q129" s="433"/>
      <c r="R129" s="433"/>
      <c r="S129" s="433"/>
      <c r="T129" s="435"/>
      <c r="U129" s="435"/>
      <c r="V129" s="435"/>
      <c r="W129" s="435"/>
      <c r="X129" s="435"/>
      <c r="Y129" s="435"/>
      <c r="Z129" s="431"/>
      <c r="AA129" s="435"/>
      <c r="AB129" s="433"/>
      <c r="AC129" s="433"/>
      <c r="AD129" s="433"/>
      <c r="AE129" s="433"/>
      <c r="AF129" s="433"/>
      <c r="AG129" s="433"/>
      <c r="AH129" s="433"/>
      <c r="AI129" s="433"/>
    </row>
    <row r="130" spans="1:35" ht="15.75">
      <c r="A130" s="433" t="s">
        <v>461</v>
      </c>
      <c r="B130" s="436">
        <f aca="true" t="shared" si="17" ref="B130:B136">B56</f>
        <v>37288.01</v>
      </c>
      <c r="C130" s="437"/>
      <c r="D130" s="437">
        <f>DATE(YEAR(B130)+2,MONTH(B130),DAY(B130))</f>
        <v>38018</v>
      </c>
      <c r="E130" s="437"/>
      <c r="F130" s="437"/>
      <c r="G130" s="437"/>
      <c r="H130" s="437"/>
      <c r="I130" s="437"/>
      <c r="J130" s="437"/>
      <c r="K130" s="437"/>
      <c r="L130" s="437"/>
      <c r="M130" s="437"/>
      <c r="N130" s="437"/>
      <c r="O130" s="437"/>
      <c r="P130" s="437"/>
      <c r="Q130" s="437"/>
      <c r="R130" s="437"/>
      <c r="S130" s="437"/>
      <c r="T130" s="438"/>
      <c r="U130" s="438"/>
      <c r="V130" s="438"/>
      <c r="W130" s="438"/>
      <c r="X130" s="438"/>
      <c r="Y130" s="438"/>
      <c r="Z130" s="431"/>
      <c r="AA130" s="435"/>
      <c r="AB130" s="433"/>
      <c r="AC130" s="433"/>
      <c r="AD130" s="433"/>
      <c r="AE130" s="433"/>
      <c r="AF130" s="433"/>
      <c r="AG130" s="433"/>
      <c r="AH130" s="433"/>
      <c r="AI130" s="433"/>
    </row>
    <row r="131" spans="1:35" ht="15.75">
      <c r="A131" s="433" t="s">
        <v>462</v>
      </c>
      <c r="B131" s="433">
        <f t="shared" si="17"/>
        <v>2</v>
      </c>
      <c r="C131" s="433" t="s">
        <v>463</v>
      </c>
      <c r="D131" s="433"/>
      <c r="E131" s="433"/>
      <c r="F131" s="433"/>
      <c r="G131" s="433"/>
      <c r="H131" s="433"/>
      <c r="I131" s="433"/>
      <c r="J131" s="433"/>
      <c r="K131" s="433"/>
      <c r="L131" s="433"/>
      <c r="M131" s="433"/>
      <c r="N131" s="433"/>
      <c r="O131" s="433"/>
      <c r="P131" s="433"/>
      <c r="Q131" s="433"/>
      <c r="R131" s="433"/>
      <c r="S131" s="433"/>
      <c r="T131" s="435"/>
      <c r="U131" s="435"/>
      <c r="V131" s="435"/>
      <c r="W131" s="435"/>
      <c r="X131" s="435"/>
      <c r="Y131" s="435"/>
      <c r="Z131" s="431"/>
      <c r="AA131" s="435"/>
      <c r="AB131" s="433"/>
      <c r="AC131" s="433"/>
      <c r="AD131" s="433"/>
      <c r="AE131" s="433"/>
      <c r="AF131" s="433"/>
      <c r="AG131" s="433"/>
      <c r="AH131" s="433"/>
      <c r="AI131" s="433"/>
    </row>
    <row r="132" spans="1:35" ht="15.75">
      <c r="A132" s="433" t="s">
        <v>464</v>
      </c>
      <c r="B132" s="436">
        <f>B58</f>
        <v>39846.01</v>
      </c>
      <c r="C132" s="437"/>
      <c r="D132" s="437"/>
      <c r="E132" s="433"/>
      <c r="F132" s="437"/>
      <c r="G132" s="437"/>
      <c r="H132" s="437"/>
      <c r="I132" s="437"/>
      <c r="J132" s="437"/>
      <c r="K132" s="437"/>
      <c r="L132" s="437"/>
      <c r="M132" s="437"/>
      <c r="N132" s="437"/>
      <c r="O132" s="437"/>
      <c r="P132" s="437"/>
      <c r="Q132" s="437"/>
      <c r="R132" s="437"/>
      <c r="S132" s="437"/>
      <c r="T132" s="438"/>
      <c r="U132" s="438"/>
      <c r="V132" s="438"/>
      <c r="W132" s="438"/>
      <c r="X132" s="438"/>
      <c r="Y132" s="438"/>
      <c r="Z132" s="431"/>
      <c r="AA132" s="435"/>
      <c r="AB132" s="433"/>
      <c r="AC132" s="433"/>
      <c r="AD132" s="433"/>
      <c r="AE132" s="433"/>
      <c r="AF132" s="433"/>
      <c r="AG132" s="433"/>
      <c r="AH132" s="433"/>
      <c r="AI132" s="433"/>
    </row>
    <row r="133" spans="1:35" ht="15.75">
      <c r="A133" s="433" t="s">
        <v>465</v>
      </c>
      <c r="B133" s="433">
        <v>1</v>
      </c>
      <c r="C133" s="439" t="s">
        <v>466</v>
      </c>
      <c r="D133" s="439"/>
      <c r="E133" s="439"/>
      <c r="F133" s="439"/>
      <c r="G133" s="439"/>
      <c r="H133" s="439"/>
      <c r="I133" s="439"/>
      <c r="J133" s="439"/>
      <c r="K133" s="439"/>
      <c r="L133" s="439"/>
      <c r="M133" s="439"/>
      <c r="N133" s="439"/>
      <c r="O133" s="439"/>
      <c r="P133" s="439"/>
      <c r="Q133" s="439"/>
      <c r="R133" s="439"/>
      <c r="S133" s="439"/>
      <c r="T133" s="440"/>
      <c r="U133" s="440"/>
      <c r="V133" s="440"/>
      <c r="W133" s="440"/>
      <c r="X133" s="440"/>
      <c r="Y133" s="440"/>
      <c r="Z133" s="431"/>
      <c r="AA133" s="435"/>
      <c r="AB133" s="433"/>
      <c r="AC133" s="433"/>
      <c r="AD133" s="433"/>
      <c r="AE133" s="433"/>
      <c r="AF133" s="433"/>
      <c r="AG133" s="433"/>
      <c r="AH133" s="433"/>
      <c r="AI133" s="433"/>
    </row>
    <row r="134" spans="1:35" ht="15.75">
      <c r="A134" s="433" t="s">
        <v>467</v>
      </c>
      <c r="B134" s="436">
        <f t="shared" si="17"/>
        <v>40390</v>
      </c>
      <c r="C134" s="437"/>
      <c r="D134" s="437"/>
      <c r="E134" s="437"/>
      <c r="F134" s="437"/>
      <c r="G134" s="437"/>
      <c r="H134" s="437"/>
      <c r="I134" s="437"/>
      <c r="J134" s="437"/>
      <c r="K134" s="437"/>
      <c r="L134" s="437"/>
      <c r="M134" s="437"/>
      <c r="N134" s="437"/>
      <c r="O134" s="437"/>
      <c r="P134" s="437"/>
      <c r="Q134" s="437"/>
      <c r="R134" s="437"/>
      <c r="S134" s="437"/>
      <c r="T134" s="438"/>
      <c r="U134" s="438"/>
      <c r="V134" s="438"/>
      <c r="W134" s="438"/>
      <c r="X134" s="438"/>
      <c r="Y134" s="438"/>
      <c r="Z134" s="431"/>
      <c r="AA134" s="435"/>
      <c r="AB134" s="433"/>
      <c r="AC134" s="433"/>
      <c r="AD134" s="433"/>
      <c r="AE134" s="433"/>
      <c r="AF134" s="433"/>
      <c r="AG134" s="433"/>
      <c r="AH134" s="433"/>
      <c r="AI134" s="433"/>
    </row>
    <row r="135" spans="1:35" ht="12.75">
      <c r="A135" s="433" t="s">
        <v>468</v>
      </c>
      <c r="B135" s="436">
        <f t="shared" si="17"/>
        <v>35977</v>
      </c>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3"/>
      <c r="AB135" s="433"/>
      <c r="AC135" s="433"/>
      <c r="AD135" s="433"/>
      <c r="AE135" s="433"/>
      <c r="AF135" s="433"/>
      <c r="AG135" s="433"/>
      <c r="AH135" s="433"/>
      <c r="AI135" s="433"/>
    </row>
    <row r="136" spans="1:35" ht="12.75">
      <c r="A136" s="433" t="s">
        <v>469</v>
      </c>
      <c r="B136" s="436">
        <f t="shared" si="17"/>
        <v>37803</v>
      </c>
      <c r="C136" s="433"/>
      <c r="D136" s="433"/>
      <c r="E136" s="433"/>
      <c r="F136" s="433"/>
      <c r="G136" s="433"/>
      <c r="H136" s="433"/>
      <c r="I136" s="433"/>
      <c r="J136" s="433"/>
      <c r="K136" s="433"/>
      <c r="L136" s="433"/>
      <c r="M136" s="433"/>
      <c r="N136" s="433"/>
      <c r="O136" s="433"/>
      <c r="P136" s="433"/>
      <c r="Q136" s="433"/>
      <c r="R136" s="433"/>
      <c r="S136" s="433"/>
      <c r="T136" s="433"/>
      <c r="U136" s="433"/>
      <c r="V136" s="441">
        <f>MIN(AX140:AX161)</f>
        <v>0</v>
      </c>
      <c r="W136" s="433"/>
      <c r="X136" s="433"/>
      <c r="Y136" s="433"/>
      <c r="Z136" s="433"/>
      <c r="AA136" s="433"/>
      <c r="AB136" s="433"/>
      <c r="AC136" s="433"/>
      <c r="AD136" s="433"/>
      <c r="AE136" s="433"/>
      <c r="AF136" s="433"/>
      <c r="AG136" s="433"/>
      <c r="AH136" s="433"/>
      <c r="AI136" s="433"/>
    </row>
    <row r="137" spans="1:35"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row>
    <row r="138" spans="1:35" ht="12.75">
      <c r="A138" s="433" t="s">
        <v>470</v>
      </c>
      <c r="B138" s="433"/>
      <c r="C138" s="433"/>
      <c r="D138" s="433"/>
      <c r="E138" s="433"/>
      <c r="F138" s="433"/>
      <c r="G138" s="433"/>
      <c r="H138" s="433"/>
      <c r="I138" s="433"/>
      <c r="J138" s="433"/>
      <c r="K138" s="433"/>
      <c r="L138" s="433"/>
      <c r="M138" s="433"/>
      <c r="N138" s="433"/>
      <c r="O138" s="433"/>
      <c r="P138" s="433"/>
      <c r="Q138" s="433"/>
      <c r="R138" s="433"/>
      <c r="S138" s="433"/>
      <c r="T138" s="433"/>
      <c r="U138" s="433"/>
      <c r="V138" s="433"/>
      <c r="W138" s="433"/>
      <c r="X138" s="433"/>
      <c r="Y138" s="433"/>
      <c r="Z138" s="433"/>
      <c r="AA138" s="433"/>
      <c r="AB138" s="433"/>
      <c r="AC138" s="433"/>
      <c r="AD138" s="433"/>
      <c r="AE138" s="433"/>
      <c r="AF138" s="433"/>
      <c r="AG138" s="433"/>
      <c r="AH138" s="433"/>
      <c r="AI138" s="433"/>
    </row>
    <row r="139" spans="1:35" ht="12.75">
      <c r="A139" s="433"/>
      <c r="B139" s="433"/>
      <c r="C139" s="433"/>
      <c r="D139" s="433"/>
      <c r="E139" s="433"/>
      <c r="F139" s="433">
        <v>1</v>
      </c>
      <c r="G139" s="433">
        <v>2</v>
      </c>
      <c r="H139" s="433">
        <v>3</v>
      </c>
      <c r="I139" s="433">
        <v>4</v>
      </c>
      <c r="J139" s="433">
        <v>5</v>
      </c>
      <c r="K139" s="433">
        <v>6</v>
      </c>
      <c r="L139" s="433">
        <v>7</v>
      </c>
      <c r="M139" s="433">
        <v>8</v>
      </c>
      <c r="N139" s="433">
        <v>9</v>
      </c>
      <c r="O139" s="433">
        <v>10</v>
      </c>
      <c r="P139" s="433">
        <v>11</v>
      </c>
      <c r="Q139" s="433">
        <v>12</v>
      </c>
      <c r="R139" s="433">
        <v>13</v>
      </c>
      <c r="S139" s="433">
        <v>14</v>
      </c>
      <c r="T139" s="433">
        <v>15</v>
      </c>
      <c r="U139" s="433">
        <v>16</v>
      </c>
      <c r="V139" s="433">
        <v>17</v>
      </c>
      <c r="W139" s="433">
        <v>18</v>
      </c>
      <c r="X139" s="433">
        <v>19</v>
      </c>
      <c r="Y139" s="433">
        <v>20</v>
      </c>
      <c r="Z139" s="433">
        <v>21</v>
      </c>
      <c r="AA139" s="433">
        <v>22</v>
      </c>
      <c r="AB139" s="433"/>
      <c r="AC139" s="433"/>
      <c r="AD139" s="433"/>
      <c r="AE139" s="433"/>
      <c r="AF139" s="433"/>
      <c r="AG139" s="433"/>
      <c r="AH139" s="433"/>
      <c r="AI139" s="433"/>
    </row>
    <row r="140" spans="1:35" ht="12.75">
      <c r="A140" s="433"/>
      <c r="B140" s="433">
        <f>B131</f>
        <v>2</v>
      </c>
      <c r="C140" s="433">
        <f>B133</f>
        <v>1</v>
      </c>
      <c r="D140" s="439">
        <f>IF(B131=1,B132,D130)</f>
        <v>38018</v>
      </c>
      <c r="E140" s="442">
        <f>F140</f>
        <v>0</v>
      </c>
      <c r="F140" s="441">
        <f aca="true" t="shared" si="18" ref="F140:AA140">MIN(AJ140:AJ161)</f>
        <v>0</v>
      </c>
      <c r="G140" s="441">
        <f t="shared" si="18"/>
        <v>0</v>
      </c>
      <c r="H140" s="441">
        <f t="shared" si="18"/>
        <v>0</v>
      </c>
      <c r="I140" s="441">
        <f t="shared" si="18"/>
        <v>0</v>
      </c>
      <c r="J140" s="441">
        <f t="shared" si="18"/>
        <v>0</v>
      </c>
      <c r="K140" s="441">
        <f t="shared" si="18"/>
        <v>0</v>
      </c>
      <c r="L140" s="443">
        <f t="shared" si="18"/>
        <v>0</v>
      </c>
      <c r="M140" s="441">
        <f t="shared" si="18"/>
        <v>0</v>
      </c>
      <c r="N140" s="441">
        <f t="shared" si="18"/>
        <v>0</v>
      </c>
      <c r="O140" s="441">
        <f t="shared" si="18"/>
        <v>0</v>
      </c>
      <c r="P140" s="441">
        <f t="shared" si="18"/>
        <v>0</v>
      </c>
      <c r="Q140" s="441">
        <f t="shared" si="18"/>
        <v>0</v>
      </c>
      <c r="R140" s="441">
        <f t="shared" si="18"/>
        <v>0</v>
      </c>
      <c r="S140" s="441">
        <f t="shared" si="18"/>
        <v>0</v>
      </c>
      <c r="T140" s="444"/>
      <c r="U140" s="441">
        <f t="shared" si="18"/>
        <v>0</v>
      </c>
      <c r="V140" s="441">
        <f t="shared" si="18"/>
        <v>0</v>
      </c>
      <c r="W140" s="441">
        <f t="shared" si="18"/>
        <v>0</v>
      </c>
      <c r="X140" s="441">
        <f t="shared" si="18"/>
        <v>0</v>
      </c>
      <c r="Y140" s="441">
        <f t="shared" si="18"/>
        <v>0</v>
      </c>
      <c r="Z140" s="441">
        <f t="shared" si="18"/>
        <v>0</v>
      </c>
      <c r="AA140" s="441">
        <f t="shared" si="18"/>
        <v>0</v>
      </c>
      <c r="AB140" s="445"/>
      <c r="AC140" s="445"/>
      <c r="AD140" s="443">
        <f>B134+1</f>
        <v>40391</v>
      </c>
      <c r="AE140" s="443">
        <f>AF140</f>
        <v>38018</v>
      </c>
      <c r="AF140" s="443">
        <f>DATE(YEAR(B130)+2,MONTH(B130),DAY(B130))</f>
        <v>38018</v>
      </c>
      <c r="AG140" s="443">
        <f>AF140</f>
        <v>38018</v>
      </c>
      <c r="AH140" s="443">
        <f>IF(AND(YEAR(AG140)=YEAR(D140),C140=1,MONTH(D140)&lt;MONTH(AG140)),D140,AG140)</f>
        <v>38018</v>
      </c>
      <c r="AI140" s="441">
        <f>IF(AH140&lt;AE140,AE140,AH140)</f>
        <v>38018</v>
      </c>
    </row>
    <row r="141" spans="1:35" ht="12.75">
      <c r="A141" s="433"/>
      <c r="B141" s="433">
        <f>B140</f>
        <v>2</v>
      </c>
      <c r="C141" s="433">
        <f>C140</f>
        <v>1</v>
      </c>
      <c r="D141" s="439">
        <f>D140</f>
        <v>38018</v>
      </c>
      <c r="E141" s="442">
        <f>G141</f>
        <v>0</v>
      </c>
      <c r="F141" s="441">
        <f aca="true" t="shared" si="19" ref="F141:AA152">F140</f>
        <v>0</v>
      </c>
      <c r="G141" s="441">
        <f t="shared" si="19"/>
        <v>0</v>
      </c>
      <c r="H141" s="441">
        <f t="shared" si="19"/>
        <v>0</v>
      </c>
      <c r="I141" s="441">
        <f t="shared" si="19"/>
        <v>0</v>
      </c>
      <c r="J141" s="441">
        <f t="shared" si="19"/>
        <v>0</v>
      </c>
      <c r="K141" s="441">
        <f t="shared" si="19"/>
        <v>0</v>
      </c>
      <c r="L141" s="441">
        <f t="shared" si="19"/>
        <v>0</v>
      </c>
      <c r="M141" s="441">
        <f t="shared" si="19"/>
        <v>0</v>
      </c>
      <c r="N141" s="441">
        <f t="shared" si="19"/>
        <v>0</v>
      </c>
      <c r="O141" s="441">
        <f t="shared" si="19"/>
        <v>0</v>
      </c>
      <c r="P141" s="441">
        <f t="shared" si="19"/>
        <v>0</v>
      </c>
      <c r="Q141" s="441">
        <f t="shared" si="19"/>
        <v>0</v>
      </c>
      <c r="R141" s="441">
        <f t="shared" si="19"/>
        <v>0</v>
      </c>
      <c r="S141" s="441">
        <f t="shared" si="19"/>
        <v>0</v>
      </c>
      <c r="T141" s="441">
        <f>V136</f>
        <v>0</v>
      </c>
      <c r="U141" s="441">
        <f t="shared" si="19"/>
        <v>0</v>
      </c>
      <c r="V141" s="441">
        <f t="shared" si="19"/>
        <v>0</v>
      </c>
      <c r="W141" s="441">
        <f t="shared" si="19"/>
        <v>0</v>
      </c>
      <c r="X141" s="441">
        <f t="shared" si="19"/>
        <v>0</v>
      </c>
      <c r="Y141" s="441">
        <f t="shared" si="19"/>
        <v>0</v>
      </c>
      <c r="Z141" s="441">
        <f t="shared" si="19"/>
        <v>0</v>
      </c>
      <c r="AA141" s="441">
        <f t="shared" si="19"/>
        <v>0</v>
      </c>
      <c r="AB141" s="445"/>
      <c r="AC141" s="445"/>
      <c r="AD141" s="443">
        <f>AD140</f>
        <v>40391</v>
      </c>
      <c r="AE141" s="443">
        <f>AE140</f>
        <v>38018</v>
      </c>
      <c r="AF141" s="443">
        <f>DATE(YEAR(AF140)+1,MONTH(AF140),1)</f>
        <v>38384</v>
      </c>
      <c r="AG141" s="443">
        <f>DATE(YEAR(AF141),IF(AND(AF141&gt;D141,B141=1,C141=1),MONTH(D141),MONTH(AF141)),IF(AND(YEAR(D141)=YEAR(AF141),B141=1,C141=1,MONTH(D141)&lt;MONTH(AF141)),DAY(D141),DAY(AF141)))+IF(AND(YEAR(D141)=YEAR(AF141),B141=1,C141=1),0.01,0)</f>
        <v>38384</v>
      </c>
      <c r="AH141" s="443">
        <f aca="true" t="shared" si="20" ref="AH141:AH155">IF(AND(YEAR(AG141)=YEAR(D141),C141=1,MONTH(D141)&lt;MONTH(AG141)),D141,AG141)</f>
        <v>38384</v>
      </c>
      <c r="AI141" s="441">
        <f aca="true" t="shared" si="21" ref="AI141:AI161">IF(AH141&lt;AE141,AE141,AH141)</f>
        <v>38384</v>
      </c>
    </row>
    <row r="142" spans="1:35" ht="12.75">
      <c r="A142" s="433"/>
      <c r="B142" s="433">
        <f aca="true" t="shared" si="22" ref="B142:D157">B141</f>
        <v>2</v>
      </c>
      <c r="C142" s="433">
        <f t="shared" si="22"/>
        <v>1</v>
      </c>
      <c r="D142" s="439">
        <f t="shared" si="22"/>
        <v>38018</v>
      </c>
      <c r="E142" s="442">
        <f>H142</f>
        <v>0</v>
      </c>
      <c r="F142" s="441">
        <f t="shared" si="19"/>
        <v>0</v>
      </c>
      <c r="G142" s="441">
        <f t="shared" si="19"/>
        <v>0</v>
      </c>
      <c r="H142" s="441">
        <f t="shared" si="19"/>
        <v>0</v>
      </c>
      <c r="I142" s="441">
        <f t="shared" si="19"/>
        <v>0</v>
      </c>
      <c r="J142" s="441">
        <f t="shared" si="19"/>
        <v>0</v>
      </c>
      <c r="K142" s="441">
        <f t="shared" si="19"/>
        <v>0</v>
      </c>
      <c r="L142" s="441">
        <f t="shared" si="19"/>
        <v>0</v>
      </c>
      <c r="M142" s="441">
        <f t="shared" si="19"/>
        <v>0</v>
      </c>
      <c r="N142" s="441">
        <f t="shared" si="19"/>
        <v>0</v>
      </c>
      <c r="O142" s="441">
        <f t="shared" si="19"/>
        <v>0</v>
      </c>
      <c r="P142" s="441">
        <f t="shared" si="19"/>
        <v>0</v>
      </c>
      <c r="Q142" s="441">
        <f t="shared" si="19"/>
        <v>0</v>
      </c>
      <c r="R142" s="441">
        <f t="shared" si="19"/>
        <v>0</v>
      </c>
      <c r="S142" s="441">
        <f t="shared" si="19"/>
        <v>0</v>
      </c>
      <c r="T142" s="441">
        <f t="shared" si="19"/>
        <v>0</v>
      </c>
      <c r="U142" s="441">
        <f t="shared" si="19"/>
        <v>0</v>
      </c>
      <c r="V142" s="441">
        <f t="shared" si="19"/>
        <v>0</v>
      </c>
      <c r="W142" s="441">
        <f t="shared" si="19"/>
        <v>0</v>
      </c>
      <c r="X142" s="441">
        <f t="shared" si="19"/>
        <v>0</v>
      </c>
      <c r="Y142" s="441">
        <f t="shared" si="19"/>
        <v>0</v>
      </c>
      <c r="Z142" s="441">
        <f t="shared" si="19"/>
        <v>0</v>
      </c>
      <c r="AA142" s="441">
        <f t="shared" si="19"/>
        <v>0</v>
      </c>
      <c r="AB142" s="445"/>
      <c r="AC142" s="445"/>
      <c r="AD142" s="443">
        <f aca="true" t="shared" si="23" ref="AD142:AE157">AD141</f>
        <v>40391</v>
      </c>
      <c r="AE142" s="443">
        <f t="shared" si="23"/>
        <v>38018</v>
      </c>
      <c r="AF142" s="443">
        <f aca="true" t="shared" si="24" ref="AF142:AF155">DATE(YEAR(AF141)+1,MONTH(AF141),1)</f>
        <v>38749</v>
      </c>
      <c r="AG142" s="443">
        <f aca="true" t="shared" si="25" ref="AG142:AG155">DATE(YEAR(AF142),IF(AND(AF142&gt;D142,B142=1,C142=1),MONTH(D142),MONTH(AF142)),IF(AND(YEAR(D142)=YEAR(AF142),B142=1,C142=1,MONTH(D142)&lt;MONTH(AF142)),DAY(D142),DAY(AF142)))+IF(AND(YEAR(D142)=YEAR(AF142),B142=1,C142=1),0.01,0)</f>
        <v>38749</v>
      </c>
      <c r="AH142" s="443">
        <f t="shared" si="20"/>
        <v>38749</v>
      </c>
      <c r="AI142" s="441">
        <f t="shared" si="21"/>
        <v>38749</v>
      </c>
    </row>
    <row r="143" spans="1:35" ht="12.75">
      <c r="A143" s="433"/>
      <c r="B143" s="433">
        <f t="shared" si="22"/>
        <v>2</v>
      </c>
      <c r="C143" s="433">
        <f t="shared" si="22"/>
        <v>1</v>
      </c>
      <c r="D143" s="439">
        <f t="shared" si="22"/>
        <v>38018</v>
      </c>
      <c r="E143" s="442">
        <f>I143</f>
        <v>0</v>
      </c>
      <c r="F143" s="441">
        <f t="shared" si="19"/>
        <v>0</v>
      </c>
      <c r="G143" s="441">
        <f t="shared" si="19"/>
        <v>0</v>
      </c>
      <c r="H143" s="441">
        <f t="shared" si="19"/>
        <v>0</v>
      </c>
      <c r="I143" s="441">
        <f t="shared" si="19"/>
        <v>0</v>
      </c>
      <c r="J143" s="441">
        <f t="shared" si="19"/>
        <v>0</v>
      </c>
      <c r="K143" s="441">
        <f t="shared" si="19"/>
        <v>0</v>
      </c>
      <c r="L143" s="441">
        <f t="shared" si="19"/>
        <v>0</v>
      </c>
      <c r="M143" s="441">
        <f t="shared" si="19"/>
        <v>0</v>
      </c>
      <c r="N143" s="441">
        <f t="shared" si="19"/>
        <v>0</v>
      </c>
      <c r="O143" s="441">
        <f t="shared" si="19"/>
        <v>0</v>
      </c>
      <c r="P143" s="441">
        <f t="shared" si="19"/>
        <v>0</v>
      </c>
      <c r="Q143" s="441">
        <f t="shared" si="19"/>
        <v>0</v>
      </c>
      <c r="R143" s="441">
        <f t="shared" si="19"/>
        <v>0</v>
      </c>
      <c r="S143" s="441">
        <f t="shared" si="19"/>
        <v>0</v>
      </c>
      <c r="T143" s="441">
        <f t="shared" si="19"/>
        <v>0</v>
      </c>
      <c r="U143" s="441">
        <f t="shared" si="19"/>
        <v>0</v>
      </c>
      <c r="V143" s="441">
        <f t="shared" si="19"/>
        <v>0</v>
      </c>
      <c r="W143" s="441">
        <f t="shared" si="19"/>
        <v>0</v>
      </c>
      <c r="X143" s="441">
        <f t="shared" si="19"/>
        <v>0</v>
      </c>
      <c r="Y143" s="441">
        <f t="shared" si="19"/>
        <v>0</v>
      </c>
      <c r="Z143" s="441">
        <f t="shared" si="19"/>
        <v>0</v>
      </c>
      <c r="AA143" s="441">
        <f t="shared" si="19"/>
        <v>0</v>
      </c>
      <c r="AB143" s="445"/>
      <c r="AC143" s="445"/>
      <c r="AD143" s="443">
        <f t="shared" si="23"/>
        <v>40391</v>
      </c>
      <c r="AE143" s="443">
        <f t="shared" si="23"/>
        <v>38018</v>
      </c>
      <c r="AF143" s="443">
        <f t="shared" si="24"/>
        <v>39114</v>
      </c>
      <c r="AG143" s="443">
        <f t="shared" si="25"/>
        <v>39114</v>
      </c>
      <c r="AH143" s="443">
        <f t="shared" si="20"/>
        <v>39114</v>
      </c>
      <c r="AI143" s="441">
        <f t="shared" si="21"/>
        <v>39114</v>
      </c>
    </row>
    <row r="144" spans="1:35" ht="12.75">
      <c r="A144" s="433"/>
      <c r="B144" s="433">
        <f t="shared" si="22"/>
        <v>2</v>
      </c>
      <c r="C144" s="433">
        <f t="shared" si="22"/>
        <v>1</v>
      </c>
      <c r="D144" s="439">
        <f t="shared" si="22"/>
        <v>38018</v>
      </c>
      <c r="E144" s="442">
        <f>J144</f>
        <v>0</v>
      </c>
      <c r="F144" s="441">
        <f t="shared" si="19"/>
        <v>0</v>
      </c>
      <c r="G144" s="441">
        <f t="shared" si="19"/>
        <v>0</v>
      </c>
      <c r="H144" s="441">
        <f t="shared" si="19"/>
        <v>0</v>
      </c>
      <c r="I144" s="441">
        <f t="shared" si="19"/>
        <v>0</v>
      </c>
      <c r="J144" s="441">
        <f t="shared" si="19"/>
        <v>0</v>
      </c>
      <c r="K144" s="441">
        <f t="shared" si="19"/>
        <v>0</v>
      </c>
      <c r="L144" s="441">
        <f t="shared" si="19"/>
        <v>0</v>
      </c>
      <c r="M144" s="441">
        <f t="shared" si="19"/>
        <v>0</v>
      </c>
      <c r="N144" s="441">
        <f t="shared" si="19"/>
        <v>0</v>
      </c>
      <c r="O144" s="441">
        <f t="shared" si="19"/>
        <v>0</v>
      </c>
      <c r="P144" s="441">
        <f t="shared" si="19"/>
        <v>0</v>
      </c>
      <c r="Q144" s="441">
        <f t="shared" si="19"/>
        <v>0</v>
      </c>
      <c r="R144" s="441">
        <f t="shared" si="19"/>
        <v>0</v>
      </c>
      <c r="S144" s="441">
        <f t="shared" si="19"/>
        <v>0</v>
      </c>
      <c r="T144" s="441">
        <f t="shared" si="19"/>
        <v>0</v>
      </c>
      <c r="U144" s="441">
        <f t="shared" si="19"/>
        <v>0</v>
      </c>
      <c r="V144" s="441">
        <f t="shared" si="19"/>
        <v>0</v>
      </c>
      <c r="W144" s="441">
        <f t="shared" si="19"/>
        <v>0</v>
      </c>
      <c r="X144" s="441">
        <f t="shared" si="19"/>
        <v>0</v>
      </c>
      <c r="Y144" s="441">
        <f t="shared" si="19"/>
        <v>0</v>
      </c>
      <c r="Z144" s="441">
        <f t="shared" si="19"/>
        <v>0</v>
      </c>
      <c r="AA144" s="441">
        <f t="shared" si="19"/>
        <v>0</v>
      </c>
      <c r="AB144" s="445"/>
      <c r="AC144" s="445"/>
      <c r="AD144" s="443">
        <f t="shared" si="23"/>
        <v>40391</v>
      </c>
      <c r="AE144" s="443">
        <f t="shared" si="23"/>
        <v>38018</v>
      </c>
      <c r="AF144" s="443">
        <f t="shared" si="24"/>
        <v>39479</v>
      </c>
      <c r="AG144" s="443">
        <f t="shared" si="25"/>
        <v>39479</v>
      </c>
      <c r="AH144" s="443">
        <f t="shared" si="20"/>
        <v>39479</v>
      </c>
      <c r="AI144" s="441">
        <f t="shared" si="21"/>
        <v>39479</v>
      </c>
    </row>
    <row r="145" spans="1:35" ht="12.75">
      <c r="A145" s="433"/>
      <c r="B145" s="433">
        <f t="shared" si="22"/>
        <v>2</v>
      </c>
      <c r="C145" s="433">
        <f t="shared" si="22"/>
        <v>1</v>
      </c>
      <c r="D145" s="439">
        <f t="shared" si="22"/>
        <v>38018</v>
      </c>
      <c r="E145" s="439">
        <f>K145</f>
        <v>0</v>
      </c>
      <c r="F145" s="441">
        <f t="shared" si="19"/>
        <v>0</v>
      </c>
      <c r="G145" s="441">
        <f t="shared" si="19"/>
        <v>0</v>
      </c>
      <c r="H145" s="441">
        <f t="shared" si="19"/>
        <v>0</v>
      </c>
      <c r="I145" s="441">
        <f t="shared" si="19"/>
        <v>0</v>
      </c>
      <c r="J145" s="441">
        <f t="shared" si="19"/>
        <v>0</v>
      </c>
      <c r="K145" s="441">
        <f t="shared" si="19"/>
        <v>0</v>
      </c>
      <c r="L145" s="441">
        <f t="shared" si="19"/>
        <v>0</v>
      </c>
      <c r="M145" s="441">
        <f t="shared" si="19"/>
        <v>0</v>
      </c>
      <c r="N145" s="441">
        <f t="shared" si="19"/>
        <v>0</v>
      </c>
      <c r="O145" s="441">
        <f t="shared" si="19"/>
        <v>0</v>
      </c>
      <c r="P145" s="441">
        <f t="shared" si="19"/>
        <v>0</v>
      </c>
      <c r="Q145" s="441">
        <f t="shared" si="19"/>
        <v>0</v>
      </c>
      <c r="R145" s="441">
        <f t="shared" si="19"/>
        <v>0</v>
      </c>
      <c r="S145" s="441">
        <f t="shared" si="19"/>
        <v>0</v>
      </c>
      <c r="T145" s="441">
        <f t="shared" si="19"/>
        <v>0</v>
      </c>
      <c r="U145" s="441">
        <f t="shared" si="19"/>
        <v>0</v>
      </c>
      <c r="V145" s="441">
        <f t="shared" si="19"/>
        <v>0</v>
      </c>
      <c r="W145" s="441">
        <f t="shared" si="19"/>
        <v>0</v>
      </c>
      <c r="X145" s="441">
        <f t="shared" si="19"/>
        <v>0</v>
      </c>
      <c r="Y145" s="441">
        <f t="shared" si="19"/>
        <v>0</v>
      </c>
      <c r="Z145" s="441">
        <f t="shared" si="19"/>
        <v>0</v>
      </c>
      <c r="AA145" s="441">
        <f t="shared" si="19"/>
        <v>0</v>
      </c>
      <c r="AB145" s="445"/>
      <c r="AC145" s="445"/>
      <c r="AD145" s="443">
        <f t="shared" si="23"/>
        <v>40391</v>
      </c>
      <c r="AE145" s="443">
        <f t="shared" si="23"/>
        <v>38018</v>
      </c>
      <c r="AF145" s="443">
        <f t="shared" si="24"/>
        <v>39845</v>
      </c>
      <c r="AG145" s="443">
        <f t="shared" si="25"/>
        <v>39845</v>
      </c>
      <c r="AH145" s="443">
        <f t="shared" si="20"/>
        <v>39845</v>
      </c>
      <c r="AI145" s="441">
        <f t="shared" si="21"/>
        <v>39845</v>
      </c>
    </row>
    <row r="146" spans="1:35" ht="12.75">
      <c r="A146" s="433"/>
      <c r="B146" s="433">
        <f t="shared" si="22"/>
        <v>2</v>
      </c>
      <c r="C146" s="433">
        <f t="shared" si="22"/>
        <v>1</v>
      </c>
      <c r="D146" s="439">
        <f t="shared" si="22"/>
        <v>38018</v>
      </c>
      <c r="E146" s="439">
        <f>L146</f>
        <v>0</v>
      </c>
      <c r="F146" s="441">
        <f t="shared" si="19"/>
        <v>0</v>
      </c>
      <c r="G146" s="441">
        <f t="shared" si="19"/>
        <v>0</v>
      </c>
      <c r="H146" s="441">
        <f t="shared" si="19"/>
        <v>0</v>
      </c>
      <c r="I146" s="441">
        <f t="shared" si="19"/>
        <v>0</v>
      </c>
      <c r="J146" s="441">
        <f t="shared" si="19"/>
        <v>0</v>
      </c>
      <c r="K146" s="441">
        <f t="shared" si="19"/>
        <v>0</v>
      </c>
      <c r="L146" s="441">
        <f t="shared" si="19"/>
        <v>0</v>
      </c>
      <c r="M146" s="441">
        <f t="shared" si="19"/>
        <v>0</v>
      </c>
      <c r="N146" s="441">
        <f t="shared" si="19"/>
        <v>0</v>
      </c>
      <c r="O146" s="441">
        <f t="shared" si="19"/>
        <v>0</v>
      </c>
      <c r="P146" s="441">
        <f t="shared" si="19"/>
        <v>0</v>
      </c>
      <c r="Q146" s="441">
        <f t="shared" si="19"/>
        <v>0</v>
      </c>
      <c r="R146" s="441">
        <f t="shared" si="19"/>
        <v>0</v>
      </c>
      <c r="S146" s="441">
        <f t="shared" si="19"/>
        <v>0</v>
      </c>
      <c r="T146" s="441">
        <f t="shared" si="19"/>
        <v>0</v>
      </c>
      <c r="U146" s="441">
        <f t="shared" si="19"/>
        <v>0</v>
      </c>
      <c r="V146" s="441">
        <f t="shared" si="19"/>
        <v>0</v>
      </c>
      <c r="W146" s="441">
        <f t="shared" si="19"/>
        <v>0</v>
      </c>
      <c r="X146" s="441">
        <f t="shared" si="19"/>
        <v>0</v>
      </c>
      <c r="Y146" s="441">
        <f t="shared" si="19"/>
        <v>0</v>
      </c>
      <c r="Z146" s="441">
        <f t="shared" si="19"/>
        <v>0</v>
      </c>
      <c r="AA146" s="441">
        <f t="shared" si="19"/>
        <v>0</v>
      </c>
      <c r="AB146" s="445"/>
      <c r="AC146" s="445"/>
      <c r="AD146" s="443">
        <f t="shared" si="23"/>
        <v>40391</v>
      </c>
      <c r="AE146" s="443">
        <f t="shared" si="23"/>
        <v>38018</v>
      </c>
      <c r="AF146" s="443">
        <f t="shared" si="24"/>
        <v>40210</v>
      </c>
      <c r="AG146" s="443">
        <f t="shared" si="25"/>
        <v>40210</v>
      </c>
      <c r="AH146" s="443">
        <f t="shared" si="20"/>
        <v>40210</v>
      </c>
      <c r="AI146" s="441">
        <f t="shared" si="21"/>
        <v>40210</v>
      </c>
    </row>
    <row r="147" spans="1:35" ht="12.75">
      <c r="A147" s="433"/>
      <c r="B147" s="433">
        <f t="shared" si="22"/>
        <v>2</v>
      </c>
      <c r="C147" s="433">
        <f t="shared" si="22"/>
        <v>1</v>
      </c>
      <c r="D147" s="439">
        <f t="shared" si="22"/>
        <v>38018</v>
      </c>
      <c r="E147" s="442">
        <f>M147</f>
        <v>0</v>
      </c>
      <c r="F147" s="441">
        <f t="shared" si="19"/>
        <v>0</v>
      </c>
      <c r="G147" s="441">
        <f t="shared" si="19"/>
        <v>0</v>
      </c>
      <c r="H147" s="441">
        <f t="shared" si="19"/>
        <v>0</v>
      </c>
      <c r="I147" s="441">
        <f t="shared" si="19"/>
        <v>0</v>
      </c>
      <c r="J147" s="441">
        <f t="shared" si="19"/>
        <v>0</v>
      </c>
      <c r="K147" s="441">
        <f t="shared" si="19"/>
        <v>0</v>
      </c>
      <c r="L147" s="441">
        <f t="shared" si="19"/>
        <v>0</v>
      </c>
      <c r="M147" s="441">
        <f t="shared" si="19"/>
        <v>0</v>
      </c>
      <c r="N147" s="441">
        <f t="shared" si="19"/>
        <v>0</v>
      </c>
      <c r="O147" s="441">
        <f t="shared" si="19"/>
        <v>0</v>
      </c>
      <c r="P147" s="441">
        <f t="shared" si="19"/>
        <v>0</v>
      </c>
      <c r="Q147" s="441">
        <f t="shared" si="19"/>
        <v>0</v>
      </c>
      <c r="R147" s="441">
        <f t="shared" si="19"/>
        <v>0</v>
      </c>
      <c r="S147" s="441">
        <f t="shared" si="19"/>
        <v>0</v>
      </c>
      <c r="T147" s="441">
        <f t="shared" si="19"/>
        <v>0</v>
      </c>
      <c r="U147" s="441">
        <f t="shared" si="19"/>
        <v>0</v>
      </c>
      <c r="V147" s="441">
        <f t="shared" si="19"/>
        <v>0</v>
      </c>
      <c r="W147" s="441">
        <f t="shared" si="19"/>
        <v>0</v>
      </c>
      <c r="X147" s="441">
        <f t="shared" si="19"/>
        <v>0</v>
      </c>
      <c r="Y147" s="441">
        <f t="shared" si="19"/>
        <v>0</v>
      </c>
      <c r="Z147" s="441">
        <f t="shared" si="19"/>
        <v>0</v>
      </c>
      <c r="AA147" s="441">
        <f t="shared" si="19"/>
        <v>0</v>
      </c>
      <c r="AB147" s="445"/>
      <c r="AC147" s="445"/>
      <c r="AD147" s="443">
        <f t="shared" si="23"/>
        <v>40391</v>
      </c>
      <c r="AE147" s="443">
        <f t="shared" si="23"/>
        <v>38018</v>
      </c>
      <c r="AF147" s="443">
        <f t="shared" si="24"/>
        <v>40575</v>
      </c>
      <c r="AG147" s="443">
        <f t="shared" si="25"/>
        <v>40575</v>
      </c>
      <c r="AH147" s="443">
        <f t="shared" si="20"/>
        <v>40575</v>
      </c>
      <c r="AI147" s="441">
        <f t="shared" si="21"/>
        <v>40575</v>
      </c>
    </row>
    <row r="148" spans="1:35" ht="12.75">
      <c r="A148" s="433"/>
      <c r="B148" s="433">
        <f t="shared" si="22"/>
        <v>2</v>
      </c>
      <c r="C148" s="433">
        <f t="shared" si="22"/>
        <v>1</v>
      </c>
      <c r="D148" s="439">
        <f t="shared" si="22"/>
        <v>38018</v>
      </c>
      <c r="E148" s="442">
        <f>N148</f>
        <v>0</v>
      </c>
      <c r="F148" s="441">
        <f t="shared" si="19"/>
        <v>0</v>
      </c>
      <c r="G148" s="441">
        <f t="shared" si="19"/>
        <v>0</v>
      </c>
      <c r="H148" s="441">
        <f t="shared" si="19"/>
        <v>0</v>
      </c>
      <c r="I148" s="441">
        <f t="shared" si="19"/>
        <v>0</v>
      </c>
      <c r="J148" s="441">
        <f t="shared" si="19"/>
        <v>0</v>
      </c>
      <c r="K148" s="441">
        <f t="shared" si="19"/>
        <v>0</v>
      </c>
      <c r="L148" s="441">
        <f t="shared" si="19"/>
        <v>0</v>
      </c>
      <c r="M148" s="441">
        <f t="shared" si="19"/>
        <v>0</v>
      </c>
      <c r="N148" s="441">
        <f t="shared" si="19"/>
        <v>0</v>
      </c>
      <c r="O148" s="441">
        <f t="shared" si="19"/>
        <v>0</v>
      </c>
      <c r="P148" s="441">
        <f t="shared" si="19"/>
        <v>0</v>
      </c>
      <c r="Q148" s="441">
        <f t="shared" si="19"/>
        <v>0</v>
      </c>
      <c r="R148" s="441">
        <f t="shared" si="19"/>
        <v>0</v>
      </c>
      <c r="S148" s="441">
        <f t="shared" si="19"/>
        <v>0</v>
      </c>
      <c r="T148" s="441">
        <f t="shared" si="19"/>
        <v>0</v>
      </c>
      <c r="U148" s="441">
        <f t="shared" si="19"/>
        <v>0</v>
      </c>
      <c r="V148" s="441">
        <f t="shared" si="19"/>
        <v>0</v>
      </c>
      <c r="W148" s="441">
        <f t="shared" si="19"/>
        <v>0</v>
      </c>
      <c r="X148" s="441">
        <f t="shared" si="19"/>
        <v>0</v>
      </c>
      <c r="Y148" s="441">
        <f t="shared" si="19"/>
        <v>0</v>
      </c>
      <c r="Z148" s="441">
        <f t="shared" si="19"/>
        <v>0</v>
      </c>
      <c r="AA148" s="441">
        <f t="shared" si="19"/>
        <v>0</v>
      </c>
      <c r="AB148" s="445"/>
      <c r="AC148" s="445"/>
      <c r="AD148" s="443">
        <f t="shared" si="23"/>
        <v>40391</v>
      </c>
      <c r="AE148" s="443">
        <f t="shared" si="23"/>
        <v>38018</v>
      </c>
      <c r="AF148" s="443">
        <f t="shared" si="24"/>
        <v>40940</v>
      </c>
      <c r="AG148" s="443">
        <f t="shared" si="25"/>
        <v>40940</v>
      </c>
      <c r="AH148" s="443">
        <f t="shared" si="20"/>
        <v>40940</v>
      </c>
      <c r="AI148" s="441">
        <f t="shared" si="21"/>
        <v>40940</v>
      </c>
    </row>
    <row r="149" spans="1:35" ht="12.75">
      <c r="A149" s="433"/>
      <c r="B149" s="433">
        <f t="shared" si="22"/>
        <v>2</v>
      </c>
      <c r="C149" s="433">
        <f t="shared" si="22"/>
        <v>1</v>
      </c>
      <c r="D149" s="439">
        <f t="shared" si="22"/>
        <v>38018</v>
      </c>
      <c r="E149" s="442">
        <f>O149</f>
        <v>0</v>
      </c>
      <c r="F149" s="441">
        <f t="shared" si="19"/>
        <v>0</v>
      </c>
      <c r="G149" s="441">
        <f t="shared" si="19"/>
        <v>0</v>
      </c>
      <c r="H149" s="441">
        <f t="shared" si="19"/>
        <v>0</v>
      </c>
      <c r="I149" s="441">
        <f t="shared" si="19"/>
        <v>0</v>
      </c>
      <c r="J149" s="441">
        <f t="shared" si="19"/>
        <v>0</v>
      </c>
      <c r="K149" s="441">
        <f t="shared" si="19"/>
        <v>0</v>
      </c>
      <c r="L149" s="441">
        <f t="shared" si="19"/>
        <v>0</v>
      </c>
      <c r="M149" s="441">
        <f t="shared" si="19"/>
        <v>0</v>
      </c>
      <c r="N149" s="441">
        <f t="shared" si="19"/>
        <v>0</v>
      </c>
      <c r="O149" s="441">
        <f t="shared" si="19"/>
        <v>0</v>
      </c>
      <c r="P149" s="441">
        <f t="shared" si="19"/>
        <v>0</v>
      </c>
      <c r="Q149" s="441">
        <f t="shared" si="19"/>
        <v>0</v>
      </c>
      <c r="R149" s="441">
        <f t="shared" si="19"/>
        <v>0</v>
      </c>
      <c r="S149" s="441">
        <f t="shared" si="19"/>
        <v>0</v>
      </c>
      <c r="T149" s="441">
        <f t="shared" si="19"/>
        <v>0</v>
      </c>
      <c r="U149" s="441">
        <f t="shared" si="19"/>
        <v>0</v>
      </c>
      <c r="V149" s="441">
        <f t="shared" si="19"/>
        <v>0</v>
      </c>
      <c r="W149" s="441">
        <f t="shared" si="19"/>
        <v>0</v>
      </c>
      <c r="X149" s="441">
        <f t="shared" si="19"/>
        <v>0</v>
      </c>
      <c r="Y149" s="441">
        <f t="shared" si="19"/>
        <v>0</v>
      </c>
      <c r="Z149" s="441">
        <f t="shared" si="19"/>
        <v>0</v>
      </c>
      <c r="AA149" s="441">
        <f t="shared" si="19"/>
        <v>0</v>
      </c>
      <c r="AB149" s="445"/>
      <c r="AC149" s="445"/>
      <c r="AD149" s="443">
        <f t="shared" si="23"/>
        <v>40391</v>
      </c>
      <c r="AE149" s="443">
        <f t="shared" si="23"/>
        <v>38018</v>
      </c>
      <c r="AF149" s="443">
        <f t="shared" si="24"/>
        <v>41306</v>
      </c>
      <c r="AG149" s="443">
        <f t="shared" si="25"/>
        <v>41306</v>
      </c>
      <c r="AH149" s="443">
        <f t="shared" si="20"/>
        <v>41306</v>
      </c>
      <c r="AI149" s="441">
        <f t="shared" si="21"/>
        <v>41306</v>
      </c>
    </row>
    <row r="150" spans="1:35" ht="12.75">
      <c r="A150" s="433"/>
      <c r="B150" s="433">
        <f t="shared" si="22"/>
        <v>2</v>
      </c>
      <c r="C150" s="433">
        <f t="shared" si="22"/>
        <v>1</v>
      </c>
      <c r="D150" s="439">
        <f t="shared" si="22"/>
        <v>38018</v>
      </c>
      <c r="E150" s="442">
        <f>P150</f>
        <v>0</v>
      </c>
      <c r="F150" s="441">
        <f t="shared" si="19"/>
        <v>0</v>
      </c>
      <c r="G150" s="441">
        <f t="shared" si="19"/>
        <v>0</v>
      </c>
      <c r="H150" s="441">
        <f t="shared" si="19"/>
        <v>0</v>
      </c>
      <c r="I150" s="441">
        <f t="shared" si="19"/>
        <v>0</v>
      </c>
      <c r="J150" s="441">
        <f t="shared" si="19"/>
        <v>0</v>
      </c>
      <c r="K150" s="441">
        <f t="shared" si="19"/>
        <v>0</v>
      </c>
      <c r="L150" s="441">
        <f t="shared" si="19"/>
        <v>0</v>
      </c>
      <c r="M150" s="441">
        <f t="shared" si="19"/>
        <v>0</v>
      </c>
      <c r="N150" s="441">
        <f t="shared" si="19"/>
        <v>0</v>
      </c>
      <c r="O150" s="441">
        <f t="shared" si="19"/>
        <v>0</v>
      </c>
      <c r="P150" s="441">
        <f t="shared" si="19"/>
        <v>0</v>
      </c>
      <c r="Q150" s="441">
        <f t="shared" si="19"/>
        <v>0</v>
      </c>
      <c r="R150" s="441">
        <f t="shared" si="19"/>
        <v>0</v>
      </c>
      <c r="S150" s="441">
        <f t="shared" si="19"/>
        <v>0</v>
      </c>
      <c r="T150" s="441">
        <f t="shared" si="19"/>
        <v>0</v>
      </c>
      <c r="U150" s="441">
        <f t="shared" si="19"/>
        <v>0</v>
      </c>
      <c r="V150" s="441">
        <f t="shared" si="19"/>
        <v>0</v>
      </c>
      <c r="W150" s="441">
        <f t="shared" si="19"/>
        <v>0</v>
      </c>
      <c r="X150" s="441">
        <f t="shared" si="19"/>
        <v>0</v>
      </c>
      <c r="Y150" s="441">
        <f t="shared" si="19"/>
        <v>0</v>
      </c>
      <c r="Z150" s="441">
        <f t="shared" si="19"/>
        <v>0</v>
      </c>
      <c r="AA150" s="441">
        <f t="shared" si="19"/>
        <v>0</v>
      </c>
      <c r="AB150" s="445"/>
      <c r="AC150" s="445"/>
      <c r="AD150" s="443">
        <f t="shared" si="23"/>
        <v>40391</v>
      </c>
      <c r="AE150" s="443">
        <f t="shared" si="23"/>
        <v>38018</v>
      </c>
      <c r="AF150" s="443">
        <f t="shared" si="24"/>
        <v>41671</v>
      </c>
      <c r="AG150" s="443">
        <f t="shared" si="25"/>
        <v>41671</v>
      </c>
      <c r="AH150" s="443">
        <f t="shared" si="20"/>
        <v>41671</v>
      </c>
      <c r="AI150" s="441">
        <f t="shared" si="21"/>
        <v>41671</v>
      </c>
    </row>
    <row r="151" spans="1:35" ht="12.75">
      <c r="A151" s="433"/>
      <c r="B151" s="433">
        <f t="shared" si="22"/>
        <v>2</v>
      </c>
      <c r="C151" s="433">
        <f t="shared" si="22"/>
        <v>1</v>
      </c>
      <c r="D151" s="439">
        <f t="shared" si="22"/>
        <v>38018</v>
      </c>
      <c r="E151" s="442">
        <f>Q151</f>
        <v>0</v>
      </c>
      <c r="F151" s="441">
        <f t="shared" si="19"/>
        <v>0</v>
      </c>
      <c r="G151" s="441">
        <f t="shared" si="19"/>
        <v>0</v>
      </c>
      <c r="H151" s="441">
        <f t="shared" si="19"/>
        <v>0</v>
      </c>
      <c r="I151" s="441">
        <f t="shared" si="19"/>
        <v>0</v>
      </c>
      <c r="J151" s="441">
        <f t="shared" si="19"/>
        <v>0</v>
      </c>
      <c r="K151" s="441">
        <f t="shared" si="19"/>
        <v>0</v>
      </c>
      <c r="L151" s="441">
        <f t="shared" si="19"/>
        <v>0</v>
      </c>
      <c r="M151" s="441">
        <f t="shared" si="19"/>
        <v>0</v>
      </c>
      <c r="N151" s="441">
        <f t="shared" si="19"/>
        <v>0</v>
      </c>
      <c r="O151" s="441">
        <f t="shared" si="19"/>
        <v>0</v>
      </c>
      <c r="P151" s="441">
        <f t="shared" si="19"/>
        <v>0</v>
      </c>
      <c r="Q151" s="441">
        <f t="shared" si="19"/>
        <v>0</v>
      </c>
      <c r="R151" s="441">
        <f t="shared" si="19"/>
        <v>0</v>
      </c>
      <c r="S151" s="441">
        <f t="shared" si="19"/>
        <v>0</v>
      </c>
      <c r="T151" s="441">
        <f t="shared" si="19"/>
        <v>0</v>
      </c>
      <c r="U151" s="441">
        <f t="shared" si="19"/>
        <v>0</v>
      </c>
      <c r="V151" s="441">
        <f t="shared" si="19"/>
        <v>0</v>
      </c>
      <c r="W151" s="441">
        <f t="shared" si="19"/>
        <v>0</v>
      </c>
      <c r="X151" s="441">
        <f t="shared" si="19"/>
        <v>0</v>
      </c>
      <c r="Y151" s="441">
        <f t="shared" si="19"/>
        <v>0</v>
      </c>
      <c r="Z151" s="441">
        <f t="shared" si="19"/>
        <v>0</v>
      </c>
      <c r="AA151" s="441">
        <f t="shared" si="19"/>
        <v>0</v>
      </c>
      <c r="AB151" s="445"/>
      <c r="AC151" s="445"/>
      <c r="AD151" s="443">
        <f t="shared" si="23"/>
        <v>40391</v>
      </c>
      <c r="AE151" s="443">
        <f t="shared" si="23"/>
        <v>38018</v>
      </c>
      <c r="AF151" s="443">
        <f t="shared" si="24"/>
        <v>42036</v>
      </c>
      <c r="AG151" s="443">
        <f t="shared" si="25"/>
        <v>42036</v>
      </c>
      <c r="AH151" s="443">
        <f t="shared" si="20"/>
        <v>42036</v>
      </c>
      <c r="AI151" s="441">
        <f t="shared" si="21"/>
        <v>42036</v>
      </c>
    </row>
    <row r="152" spans="1:35" ht="12.75">
      <c r="A152" s="433"/>
      <c r="B152" s="433">
        <f t="shared" si="22"/>
        <v>2</v>
      </c>
      <c r="C152" s="433">
        <f t="shared" si="22"/>
        <v>1</v>
      </c>
      <c r="D152" s="439">
        <f t="shared" si="22"/>
        <v>38018</v>
      </c>
      <c r="E152" s="442">
        <f>R152</f>
        <v>0</v>
      </c>
      <c r="F152" s="441">
        <f t="shared" si="19"/>
        <v>0</v>
      </c>
      <c r="G152" s="441">
        <f t="shared" si="19"/>
        <v>0</v>
      </c>
      <c r="H152" s="441">
        <f t="shared" si="19"/>
        <v>0</v>
      </c>
      <c r="I152" s="441">
        <f t="shared" si="19"/>
        <v>0</v>
      </c>
      <c r="J152" s="441">
        <f t="shared" si="19"/>
        <v>0</v>
      </c>
      <c r="K152" s="441">
        <f t="shared" si="19"/>
        <v>0</v>
      </c>
      <c r="L152" s="441">
        <f t="shared" si="19"/>
        <v>0</v>
      </c>
      <c r="M152" s="441">
        <f t="shared" si="19"/>
        <v>0</v>
      </c>
      <c r="N152" s="441">
        <f t="shared" si="19"/>
        <v>0</v>
      </c>
      <c r="O152" s="441">
        <f t="shared" si="19"/>
        <v>0</v>
      </c>
      <c r="P152" s="441">
        <f t="shared" si="19"/>
        <v>0</v>
      </c>
      <c r="Q152" s="441">
        <f t="shared" si="19"/>
        <v>0</v>
      </c>
      <c r="R152" s="441">
        <f t="shared" si="19"/>
        <v>0</v>
      </c>
      <c r="S152" s="441">
        <f t="shared" si="19"/>
        <v>0</v>
      </c>
      <c r="T152" s="441">
        <f aca="true" t="shared" si="26" ref="F152:AA161">T151</f>
        <v>0</v>
      </c>
      <c r="U152" s="441">
        <f t="shared" si="26"/>
        <v>0</v>
      </c>
      <c r="V152" s="441">
        <f t="shared" si="26"/>
        <v>0</v>
      </c>
      <c r="W152" s="441">
        <f t="shared" si="26"/>
        <v>0</v>
      </c>
      <c r="X152" s="441">
        <f t="shared" si="26"/>
        <v>0</v>
      </c>
      <c r="Y152" s="441">
        <f t="shared" si="26"/>
        <v>0</v>
      </c>
      <c r="Z152" s="441">
        <f t="shared" si="26"/>
        <v>0</v>
      </c>
      <c r="AA152" s="441">
        <f t="shared" si="26"/>
        <v>0</v>
      </c>
      <c r="AB152" s="445"/>
      <c r="AC152" s="445"/>
      <c r="AD152" s="443">
        <f t="shared" si="23"/>
        <v>40391</v>
      </c>
      <c r="AE152" s="443">
        <f t="shared" si="23"/>
        <v>38018</v>
      </c>
      <c r="AF152" s="443">
        <f t="shared" si="24"/>
        <v>42401</v>
      </c>
      <c r="AG152" s="443">
        <f t="shared" si="25"/>
        <v>42401</v>
      </c>
      <c r="AH152" s="443">
        <f t="shared" si="20"/>
        <v>42401</v>
      </c>
      <c r="AI152" s="441">
        <f t="shared" si="21"/>
        <v>42401</v>
      </c>
    </row>
    <row r="153" spans="1:35" ht="12.75">
      <c r="A153" s="433"/>
      <c r="B153" s="433">
        <f t="shared" si="22"/>
        <v>2</v>
      </c>
      <c r="C153" s="433">
        <f t="shared" si="22"/>
        <v>1</v>
      </c>
      <c r="D153" s="439">
        <f t="shared" si="22"/>
        <v>38018</v>
      </c>
      <c r="E153" s="442">
        <f>S153</f>
        <v>0</v>
      </c>
      <c r="F153" s="441">
        <f t="shared" si="26"/>
        <v>0</v>
      </c>
      <c r="G153" s="441">
        <f t="shared" si="26"/>
        <v>0</v>
      </c>
      <c r="H153" s="441">
        <f t="shared" si="26"/>
        <v>0</v>
      </c>
      <c r="I153" s="441">
        <f t="shared" si="26"/>
        <v>0</v>
      </c>
      <c r="J153" s="441">
        <f t="shared" si="26"/>
        <v>0</v>
      </c>
      <c r="K153" s="441">
        <f t="shared" si="26"/>
        <v>0</v>
      </c>
      <c r="L153" s="441">
        <f t="shared" si="26"/>
        <v>0</v>
      </c>
      <c r="M153" s="441">
        <f t="shared" si="26"/>
        <v>0</v>
      </c>
      <c r="N153" s="441">
        <f t="shared" si="26"/>
        <v>0</v>
      </c>
      <c r="O153" s="441">
        <f t="shared" si="26"/>
        <v>0</v>
      </c>
      <c r="P153" s="441">
        <f t="shared" si="26"/>
        <v>0</v>
      </c>
      <c r="Q153" s="441">
        <f t="shared" si="26"/>
        <v>0</v>
      </c>
      <c r="R153" s="441">
        <f t="shared" si="26"/>
        <v>0</v>
      </c>
      <c r="S153" s="441">
        <f t="shared" si="26"/>
        <v>0</v>
      </c>
      <c r="T153" s="441">
        <f t="shared" si="26"/>
        <v>0</v>
      </c>
      <c r="U153" s="441">
        <f t="shared" si="26"/>
        <v>0</v>
      </c>
      <c r="V153" s="441">
        <f t="shared" si="26"/>
        <v>0</v>
      </c>
      <c r="W153" s="441">
        <f t="shared" si="26"/>
        <v>0</v>
      </c>
      <c r="X153" s="441">
        <f t="shared" si="26"/>
        <v>0</v>
      </c>
      <c r="Y153" s="441">
        <f t="shared" si="26"/>
        <v>0</v>
      </c>
      <c r="Z153" s="441">
        <f t="shared" si="26"/>
        <v>0</v>
      </c>
      <c r="AA153" s="441">
        <f t="shared" si="26"/>
        <v>0</v>
      </c>
      <c r="AB153" s="445"/>
      <c r="AC153" s="445"/>
      <c r="AD153" s="443">
        <f t="shared" si="23"/>
        <v>40391</v>
      </c>
      <c r="AE153" s="443">
        <f t="shared" si="23"/>
        <v>38018</v>
      </c>
      <c r="AF153" s="443">
        <f t="shared" si="24"/>
        <v>42767</v>
      </c>
      <c r="AG153" s="443">
        <f t="shared" si="25"/>
        <v>42767</v>
      </c>
      <c r="AH153" s="443">
        <f t="shared" si="20"/>
        <v>42767</v>
      </c>
      <c r="AI153" s="441">
        <f t="shared" si="21"/>
        <v>42767</v>
      </c>
    </row>
    <row r="154" spans="1:35" ht="12.75">
      <c r="A154" s="433"/>
      <c r="B154" s="433">
        <f t="shared" si="22"/>
        <v>2</v>
      </c>
      <c r="C154" s="433">
        <f t="shared" si="22"/>
        <v>1</v>
      </c>
      <c r="D154" s="439">
        <f t="shared" si="22"/>
        <v>38018</v>
      </c>
      <c r="E154" s="442">
        <f>T154</f>
        <v>0</v>
      </c>
      <c r="F154" s="441">
        <f t="shared" si="26"/>
        <v>0</v>
      </c>
      <c r="G154" s="441">
        <f t="shared" si="26"/>
        <v>0</v>
      </c>
      <c r="H154" s="441">
        <f t="shared" si="26"/>
        <v>0</v>
      </c>
      <c r="I154" s="441">
        <f t="shared" si="26"/>
        <v>0</v>
      </c>
      <c r="J154" s="441">
        <f t="shared" si="26"/>
        <v>0</v>
      </c>
      <c r="K154" s="441">
        <f t="shared" si="26"/>
        <v>0</v>
      </c>
      <c r="L154" s="441">
        <f t="shared" si="26"/>
        <v>0</v>
      </c>
      <c r="M154" s="441">
        <f t="shared" si="26"/>
        <v>0</v>
      </c>
      <c r="N154" s="441">
        <f t="shared" si="26"/>
        <v>0</v>
      </c>
      <c r="O154" s="441">
        <f t="shared" si="26"/>
        <v>0</v>
      </c>
      <c r="P154" s="441">
        <f t="shared" si="26"/>
        <v>0</v>
      </c>
      <c r="Q154" s="441">
        <f t="shared" si="26"/>
        <v>0</v>
      </c>
      <c r="R154" s="441">
        <f t="shared" si="26"/>
        <v>0</v>
      </c>
      <c r="S154" s="441">
        <f t="shared" si="26"/>
        <v>0</v>
      </c>
      <c r="T154" s="441">
        <f t="shared" si="26"/>
        <v>0</v>
      </c>
      <c r="U154" s="441">
        <f t="shared" si="26"/>
        <v>0</v>
      </c>
      <c r="V154" s="441">
        <f t="shared" si="26"/>
        <v>0</v>
      </c>
      <c r="W154" s="441">
        <f t="shared" si="26"/>
        <v>0</v>
      </c>
      <c r="X154" s="441">
        <f t="shared" si="26"/>
        <v>0</v>
      </c>
      <c r="Y154" s="441">
        <f t="shared" si="26"/>
        <v>0</v>
      </c>
      <c r="Z154" s="441">
        <f t="shared" si="26"/>
        <v>0</v>
      </c>
      <c r="AA154" s="441">
        <f t="shared" si="26"/>
        <v>0</v>
      </c>
      <c r="AB154" s="445"/>
      <c r="AC154" s="445"/>
      <c r="AD154" s="443">
        <f t="shared" si="23"/>
        <v>40391</v>
      </c>
      <c r="AE154" s="443">
        <f t="shared" si="23"/>
        <v>38018</v>
      </c>
      <c r="AF154" s="443">
        <f t="shared" si="24"/>
        <v>43132</v>
      </c>
      <c r="AG154" s="443">
        <f t="shared" si="25"/>
        <v>43132</v>
      </c>
      <c r="AH154" s="443">
        <f t="shared" si="20"/>
        <v>43132</v>
      </c>
      <c r="AI154" s="441">
        <f t="shared" si="21"/>
        <v>43132</v>
      </c>
    </row>
    <row r="155" spans="1:35" ht="12.75">
      <c r="A155" s="433"/>
      <c r="B155" s="433">
        <f t="shared" si="22"/>
        <v>2</v>
      </c>
      <c r="C155" s="433">
        <f t="shared" si="22"/>
        <v>1</v>
      </c>
      <c r="D155" s="439">
        <f t="shared" si="22"/>
        <v>38018</v>
      </c>
      <c r="E155" s="442">
        <f>U155</f>
        <v>0</v>
      </c>
      <c r="F155" s="441">
        <f t="shared" si="26"/>
        <v>0</v>
      </c>
      <c r="G155" s="441">
        <f t="shared" si="26"/>
        <v>0</v>
      </c>
      <c r="H155" s="441">
        <f t="shared" si="26"/>
        <v>0</v>
      </c>
      <c r="I155" s="441">
        <f t="shared" si="26"/>
        <v>0</v>
      </c>
      <c r="J155" s="441">
        <f t="shared" si="26"/>
        <v>0</v>
      </c>
      <c r="K155" s="441">
        <f t="shared" si="26"/>
        <v>0</v>
      </c>
      <c r="L155" s="441">
        <f t="shared" si="26"/>
        <v>0</v>
      </c>
      <c r="M155" s="441">
        <f t="shared" si="26"/>
        <v>0</v>
      </c>
      <c r="N155" s="441">
        <f t="shared" si="26"/>
        <v>0</v>
      </c>
      <c r="O155" s="441">
        <f t="shared" si="26"/>
        <v>0</v>
      </c>
      <c r="P155" s="441">
        <f t="shared" si="26"/>
        <v>0</v>
      </c>
      <c r="Q155" s="441">
        <f t="shared" si="26"/>
        <v>0</v>
      </c>
      <c r="R155" s="441">
        <f t="shared" si="26"/>
        <v>0</v>
      </c>
      <c r="S155" s="441">
        <f t="shared" si="26"/>
        <v>0</v>
      </c>
      <c r="T155" s="441">
        <f t="shared" si="26"/>
        <v>0</v>
      </c>
      <c r="U155" s="441">
        <f t="shared" si="26"/>
        <v>0</v>
      </c>
      <c r="V155" s="441">
        <f t="shared" si="26"/>
        <v>0</v>
      </c>
      <c r="W155" s="441">
        <f t="shared" si="26"/>
        <v>0</v>
      </c>
      <c r="X155" s="441">
        <f t="shared" si="26"/>
        <v>0</v>
      </c>
      <c r="Y155" s="441">
        <f t="shared" si="26"/>
        <v>0</v>
      </c>
      <c r="Z155" s="441">
        <f t="shared" si="26"/>
        <v>0</v>
      </c>
      <c r="AA155" s="441">
        <f t="shared" si="26"/>
        <v>0</v>
      </c>
      <c r="AB155" s="445"/>
      <c r="AC155" s="445"/>
      <c r="AD155" s="443">
        <f t="shared" si="23"/>
        <v>40391</v>
      </c>
      <c r="AE155" s="443">
        <f t="shared" si="23"/>
        <v>38018</v>
      </c>
      <c r="AF155" s="443">
        <f t="shared" si="24"/>
        <v>43497</v>
      </c>
      <c r="AG155" s="443">
        <f t="shared" si="25"/>
        <v>43497</v>
      </c>
      <c r="AH155" s="443">
        <f t="shared" si="20"/>
        <v>43497</v>
      </c>
      <c r="AI155" s="441">
        <f t="shared" si="21"/>
        <v>43497</v>
      </c>
    </row>
    <row r="156" spans="1:35" ht="12.75">
      <c r="A156" s="433"/>
      <c r="B156" s="433">
        <f t="shared" si="22"/>
        <v>2</v>
      </c>
      <c r="C156" s="433">
        <f t="shared" si="22"/>
        <v>1</v>
      </c>
      <c r="D156" s="439">
        <f t="shared" si="22"/>
        <v>38018</v>
      </c>
      <c r="E156" s="442">
        <f>V156</f>
        <v>0</v>
      </c>
      <c r="F156" s="441">
        <f t="shared" si="26"/>
        <v>0</v>
      </c>
      <c r="G156" s="441">
        <f t="shared" si="26"/>
        <v>0</v>
      </c>
      <c r="H156" s="441">
        <f t="shared" si="26"/>
        <v>0</v>
      </c>
      <c r="I156" s="441">
        <f t="shared" si="26"/>
        <v>0</v>
      </c>
      <c r="J156" s="441">
        <f t="shared" si="26"/>
        <v>0</v>
      </c>
      <c r="K156" s="441">
        <f t="shared" si="26"/>
        <v>0</v>
      </c>
      <c r="L156" s="441">
        <f t="shared" si="26"/>
        <v>0</v>
      </c>
      <c r="M156" s="441">
        <f t="shared" si="26"/>
        <v>0</v>
      </c>
      <c r="N156" s="441">
        <f t="shared" si="26"/>
        <v>0</v>
      </c>
      <c r="O156" s="441">
        <f t="shared" si="26"/>
        <v>0</v>
      </c>
      <c r="P156" s="441">
        <f t="shared" si="26"/>
        <v>0</v>
      </c>
      <c r="Q156" s="441">
        <f t="shared" si="26"/>
        <v>0</v>
      </c>
      <c r="R156" s="441">
        <f t="shared" si="26"/>
        <v>0</v>
      </c>
      <c r="S156" s="441">
        <f t="shared" si="26"/>
        <v>0</v>
      </c>
      <c r="T156" s="441">
        <f t="shared" si="26"/>
        <v>0</v>
      </c>
      <c r="U156" s="441">
        <f t="shared" si="26"/>
        <v>0</v>
      </c>
      <c r="V156" s="441">
        <f t="shared" si="26"/>
        <v>0</v>
      </c>
      <c r="W156" s="441">
        <f t="shared" si="26"/>
        <v>0</v>
      </c>
      <c r="X156" s="441">
        <f t="shared" si="26"/>
        <v>0</v>
      </c>
      <c r="Y156" s="441">
        <f t="shared" si="26"/>
        <v>0</v>
      </c>
      <c r="Z156" s="441">
        <f t="shared" si="26"/>
        <v>0</v>
      </c>
      <c r="AA156" s="441">
        <f t="shared" si="26"/>
        <v>0</v>
      </c>
      <c r="AB156" s="445"/>
      <c r="AC156" s="445"/>
      <c r="AD156" s="443">
        <f t="shared" si="23"/>
        <v>40391</v>
      </c>
      <c r="AE156" s="443">
        <f t="shared" si="23"/>
        <v>38018</v>
      </c>
      <c r="AF156" s="446">
        <f>35977+0.001</f>
        <v>35977.001</v>
      </c>
      <c r="AG156" s="443">
        <f aca="true" t="shared" si="27" ref="AG156:AH158">AF156</f>
        <v>35977.001</v>
      </c>
      <c r="AH156" s="443">
        <f t="shared" si="27"/>
        <v>35977.001</v>
      </c>
      <c r="AI156" s="441">
        <f t="shared" si="21"/>
        <v>38018</v>
      </c>
    </row>
    <row r="157" spans="1:35" ht="12.75">
      <c r="A157" s="433"/>
      <c r="B157" s="433">
        <f t="shared" si="22"/>
        <v>2</v>
      </c>
      <c r="C157" s="433">
        <f t="shared" si="22"/>
        <v>1</v>
      </c>
      <c r="D157" s="439">
        <f t="shared" si="22"/>
        <v>38018</v>
      </c>
      <c r="E157" s="442">
        <f>W157</f>
        <v>0</v>
      </c>
      <c r="F157" s="441">
        <f t="shared" si="26"/>
        <v>0</v>
      </c>
      <c r="G157" s="441">
        <f t="shared" si="26"/>
        <v>0</v>
      </c>
      <c r="H157" s="441">
        <f t="shared" si="26"/>
        <v>0</v>
      </c>
      <c r="I157" s="441">
        <f t="shared" si="26"/>
        <v>0</v>
      </c>
      <c r="J157" s="441">
        <f t="shared" si="26"/>
        <v>0</v>
      </c>
      <c r="K157" s="441">
        <f t="shared" si="26"/>
        <v>0</v>
      </c>
      <c r="L157" s="441">
        <f t="shared" si="26"/>
        <v>0</v>
      </c>
      <c r="M157" s="441">
        <f t="shared" si="26"/>
        <v>0</v>
      </c>
      <c r="N157" s="441">
        <f t="shared" si="26"/>
        <v>0</v>
      </c>
      <c r="O157" s="441">
        <f t="shared" si="26"/>
        <v>0</v>
      </c>
      <c r="P157" s="441">
        <f t="shared" si="26"/>
        <v>0</v>
      </c>
      <c r="Q157" s="441">
        <f t="shared" si="26"/>
        <v>0</v>
      </c>
      <c r="R157" s="441">
        <f t="shared" si="26"/>
        <v>0</v>
      </c>
      <c r="S157" s="441">
        <f t="shared" si="26"/>
        <v>0</v>
      </c>
      <c r="T157" s="441">
        <f t="shared" si="26"/>
        <v>0</v>
      </c>
      <c r="U157" s="441">
        <f t="shared" si="26"/>
        <v>0</v>
      </c>
      <c r="V157" s="441">
        <f t="shared" si="26"/>
        <v>0</v>
      </c>
      <c r="W157" s="441">
        <f t="shared" si="26"/>
        <v>0</v>
      </c>
      <c r="X157" s="441">
        <f t="shared" si="26"/>
        <v>0</v>
      </c>
      <c r="Y157" s="441">
        <f t="shared" si="26"/>
        <v>0</v>
      </c>
      <c r="Z157" s="441">
        <f t="shared" si="26"/>
        <v>0</v>
      </c>
      <c r="AA157" s="441">
        <f t="shared" si="26"/>
        <v>0</v>
      </c>
      <c r="AB157" s="445"/>
      <c r="AC157" s="445"/>
      <c r="AD157" s="443">
        <f t="shared" si="23"/>
        <v>40391</v>
      </c>
      <c r="AE157" s="443">
        <f t="shared" si="23"/>
        <v>38018</v>
      </c>
      <c r="AF157" s="446">
        <f>37803+0.001</f>
        <v>37803.001</v>
      </c>
      <c r="AG157" s="443">
        <f t="shared" si="27"/>
        <v>37803.001</v>
      </c>
      <c r="AH157" s="443">
        <f t="shared" si="27"/>
        <v>37803.001</v>
      </c>
      <c r="AI157" s="441">
        <f t="shared" si="21"/>
        <v>38018</v>
      </c>
    </row>
    <row r="158" spans="1:35" ht="12.75">
      <c r="A158" s="433"/>
      <c r="B158" s="433">
        <f aca="true" t="shared" si="28" ref="B158:D161">B157</f>
        <v>2</v>
      </c>
      <c r="C158" s="433">
        <f t="shared" si="28"/>
        <v>1</v>
      </c>
      <c r="D158" s="439">
        <f t="shared" si="28"/>
        <v>38018</v>
      </c>
      <c r="E158" s="442">
        <f>X158</f>
        <v>0</v>
      </c>
      <c r="F158" s="441">
        <f t="shared" si="26"/>
        <v>0</v>
      </c>
      <c r="G158" s="441">
        <f t="shared" si="26"/>
        <v>0</v>
      </c>
      <c r="H158" s="441">
        <f t="shared" si="26"/>
        <v>0</v>
      </c>
      <c r="I158" s="441">
        <f t="shared" si="26"/>
        <v>0</v>
      </c>
      <c r="J158" s="441">
        <f t="shared" si="26"/>
        <v>0</v>
      </c>
      <c r="K158" s="441">
        <f t="shared" si="26"/>
        <v>0</v>
      </c>
      <c r="L158" s="441">
        <f t="shared" si="26"/>
        <v>0</v>
      </c>
      <c r="M158" s="441">
        <f t="shared" si="26"/>
        <v>0</v>
      </c>
      <c r="N158" s="441">
        <f t="shared" si="26"/>
        <v>0</v>
      </c>
      <c r="O158" s="441">
        <f t="shared" si="26"/>
        <v>0</v>
      </c>
      <c r="P158" s="441">
        <f t="shared" si="26"/>
        <v>0</v>
      </c>
      <c r="Q158" s="441">
        <f t="shared" si="26"/>
        <v>0</v>
      </c>
      <c r="R158" s="441">
        <f t="shared" si="26"/>
        <v>0</v>
      </c>
      <c r="S158" s="441">
        <f t="shared" si="26"/>
        <v>0</v>
      </c>
      <c r="T158" s="441">
        <f t="shared" si="26"/>
        <v>0</v>
      </c>
      <c r="U158" s="441">
        <f t="shared" si="26"/>
        <v>0</v>
      </c>
      <c r="V158" s="441">
        <f t="shared" si="26"/>
        <v>0</v>
      </c>
      <c r="W158" s="441">
        <f t="shared" si="26"/>
        <v>0</v>
      </c>
      <c r="X158" s="441">
        <f t="shared" si="26"/>
        <v>0</v>
      </c>
      <c r="Y158" s="441">
        <f t="shared" si="26"/>
        <v>0</v>
      </c>
      <c r="Z158" s="441">
        <f t="shared" si="26"/>
        <v>0</v>
      </c>
      <c r="AA158" s="441">
        <f t="shared" si="26"/>
        <v>0</v>
      </c>
      <c r="AB158" s="445"/>
      <c r="AC158" s="445"/>
      <c r="AD158" s="443">
        <f aca="true" t="shared" si="29" ref="AD158:AE160">AD157</f>
        <v>40391</v>
      </c>
      <c r="AE158" s="443">
        <f t="shared" si="29"/>
        <v>38018</v>
      </c>
      <c r="AF158" s="443">
        <f>IF(B131=1,B132,AF159)</f>
        <v>40210</v>
      </c>
      <c r="AG158" s="446">
        <f t="shared" si="27"/>
        <v>40210</v>
      </c>
      <c r="AH158" s="443">
        <f t="shared" si="27"/>
        <v>40210</v>
      </c>
      <c r="AI158" s="441">
        <f t="shared" si="21"/>
        <v>40210</v>
      </c>
    </row>
    <row r="159" spans="1:35" ht="12.75">
      <c r="A159" s="433"/>
      <c r="B159" s="433">
        <f t="shared" si="28"/>
        <v>2</v>
      </c>
      <c r="C159" s="433">
        <f t="shared" si="28"/>
        <v>1</v>
      </c>
      <c r="D159" s="439">
        <f t="shared" si="28"/>
        <v>38018</v>
      </c>
      <c r="E159" s="442">
        <f>Y159</f>
        <v>0</v>
      </c>
      <c r="F159" s="441">
        <f t="shared" si="26"/>
        <v>0</v>
      </c>
      <c r="G159" s="441">
        <f t="shared" si="26"/>
        <v>0</v>
      </c>
      <c r="H159" s="441">
        <f t="shared" si="26"/>
        <v>0</v>
      </c>
      <c r="I159" s="441">
        <f t="shared" si="26"/>
        <v>0</v>
      </c>
      <c r="J159" s="441">
        <f t="shared" si="26"/>
        <v>0</v>
      </c>
      <c r="K159" s="441">
        <f t="shared" si="26"/>
        <v>0</v>
      </c>
      <c r="L159" s="441">
        <f t="shared" si="26"/>
        <v>0</v>
      </c>
      <c r="M159" s="441">
        <f t="shared" si="26"/>
        <v>0</v>
      </c>
      <c r="N159" s="441">
        <f t="shared" si="26"/>
        <v>0</v>
      </c>
      <c r="O159" s="441">
        <f t="shared" si="26"/>
        <v>0</v>
      </c>
      <c r="P159" s="441">
        <f t="shared" si="26"/>
        <v>0</v>
      </c>
      <c r="Q159" s="441">
        <f t="shared" si="26"/>
        <v>0</v>
      </c>
      <c r="R159" s="441">
        <f t="shared" si="26"/>
        <v>0</v>
      </c>
      <c r="S159" s="441">
        <f t="shared" si="26"/>
        <v>0</v>
      </c>
      <c r="T159" s="441">
        <f t="shared" si="26"/>
        <v>0</v>
      </c>
      <c r="U159" s="441">
        <f t="shared" si="26"/>
        <v>0</v>
      </c>
      <c r="V159" s="441">
        <f t="shared" si="26"/>
        <v>0</v>
      </c>
      <c r="W159" s="441">
        <f t="shared" si="26"/>
        <v>0</v>
      </c>
      <c r="X159" s="441">
        <f t="shared" si="26"/>
        <v>0</v>
      </c>
      <c r="Y159" s="441">
        <f t="shared" si="26"/>
        <v>0</v>
      </c>
      <c r="Z159" s="441">
        <f t="shared" si="26"/>
        <v>0</v>
      </c>
      <c r="AA159" s="441">
        <f t="shared" si="26"/>
        <v>0</v>
      </c>
      <c r="AB159" s="445"/>
      <c r="AC159" s="445"/>
      <c r="AD159" s="443">
        <f t="shared" si="29"/>
        <v>40391</v>
      </c>
      <c r="AE159" s="443">
        <f t="shared" si="29"/>
        <v>38018</v>
      </c>
      <c r="AF159" s="443">
        <f>DATE(YEAR(B130)+8,MONTH(B130),DAY(B130))</f>
        <v>40210</v>
      </c>
      <c r="AG159" s="446">
        <f>IF(AF159&lt;AF158,AF159,AF158)</f>
        <v>40210</v>
      </c>
      <c r="AH159" s="443">
        <f>AG159</f>
        <v>40210</v>
      </c>
      <c r="AI159" s="441">
        <f t="shared" si="21"/>
        <v>40210</v>
      </c>
    </row>
    <row r="160" spans="1:35" ht="12.75">
      <c r="A160" s="433"/>
      <c r="B160" s="433">
        <f t="shared" si="28"/>
        <v>2</v>
      </c>
      <c r="C160" s="433">
        <f t="shared" si="28"/>
        <v>1</v>
      </c>
      <c r="D160" s="439">
        <f t="shared" si="28"/>
        <v>38018</v>
      </c>
      <c r="E160" s="442">
        <f>Z160</f>
        <v>0</v>
      </c>
      <c r="F160" s="441">
        <f t="shared" si="26"/>
        <v>0</v>
      </c>
      <c r="G160" s="441">
        <f t="shared" si="26"/>
        <v>0</v>
      </c>
      <c r="H160" s="441">
        <f t="shared" si="26"/>
        <v>0</v>
      </c>
      <c r="I160" s="441">
        <f t="shared" si="26"/>
        <v>0</v>
      </c>
      <c r="J160" s="441">
        <f t="shared" si="26"/>
        <v>0</v>
      </c>
      <c r="K160" s="441">
        <f t="shared" si="26"/>
        <v>0</v>
      </c>
      <c r="L160" s="441">
        <f t="shared" si="26"/>
        <v>0</v>
      </c>
      <c r="M160" s="441">
        <f t="shared" si="26"/>
        <v>0</v>
      </c>
      <c r="N160" s="441">
        <f t="shared" si="26"/>
        <v>0</v>
      </c>
      <c r="O160" s="441">
        <f t="shared" si="26"/>
        <v>0</v>
      </c>
      <c r="P160" s="441">
        <f t="shared" si="26"/>
        <v>0</v>
      </c>
      <c r="Q160" s="441">
        <f t="shared" si="26"/>
        <v>0</v>
      </c>
      <c r="R160" s="441">
        <f t="shared" si="26"/>
        <v>0</v>
      </c>
      <c r="S160" s="441">
        <f t="shared" si="26"/>
        <v>0</v>
      </c>
      <c r="T160" s="441">
        <f t="shared" si="26"/>
        <v>0</v>
      </c>
      <c r="U160" s="441">
        <f t="shared" si="26"/>
        <v>0</v>
      </c>
      <c r="V160" s="441">
        <f t="shared" si="26"/>
        <v>0</v>
      </c>
      <c r="W160" s="441">
        <f t="shared" si="26"/>
        <v>0</v>
      </c>
      <c r="X160" s="441">
        <f t="shared" si="26"/>
        <v>0</v>
      </c>
      <c r="Y160" s="441">
        <f t="shared" si="26"/>
        <v>0</v>
      </c>
      <c r="Z160" s="441">
        <f t="shared" si="26"/>
        <v>0</v>
      </c>
      <c r="AA160" s="441">
        <f t="shared" si="26"/>
        <v>0</v>
      </c>
      <c r="AB160" s="445"/>
      <c r="AC160" s="445"/>
      <c r="AD160" s="443">
        <f t="shared" si="29"/>
        <v>40391</v>
      </c>
      <c r="AE160" s="443">
        <f t="shared" si="29"/>
        <v>38018</v>
      </c>
      <c r="AF160" s="443">
        <f>AF161</f>
        <v>43132.01</v>
      </c>
      <c r="AG160" s="443">
        <f>AF160</f>
        <v>43132.01</v>
      </c>
      <c r="AH160" s="443">
        <f>AG160</f>
        <v>43132.01</v>
      </c>
      <c r="AI160" s="441">
        <f t="shared" si="21"/>
        <v>43132.01</v>
      </c>
    </row>
    <row r="161" spans="1:35" ht="12.75">
      <c r="A161" s="433"/>
      <c r="B161" s="433">
        <f t="shared" si="28"/>
        <v>2</v>
      </c>
      <c r="C161" s="433">
        <f t="shared" si="28"/>
        <v>1</v>
      </c>
      <c r="D161" s="439">
        <f>D160</f>
        <v>38018</v>
      </c>
      <c r="E161" s="442">
        <f>AA161</f>
        <v>0</v>
      </c>
      <c r="F161" s="441">
        <f t="shared" si="26"/>
        <v>0</v>
      </c>
      <c r="G161" s="441">
        <f t="shared" si="26"/>
        <v>0</v>
      </c>
      <c r="H161" s="441">
        <f t="shared" si="26"/>
        <v>0</v>
      </c>
      <c r="I161" s="441">
        <f t="shared" si="26"/>
        <v>0</v>
      </c>
      <c r="J161" s="441">
        <f t="shared" si="26"/>
        <v>0</v>
      </c>
      <c r="K161" s="441">
        <f t="shared" si="26"/>
        <v>0</v>
      </c>
      <c r="L161" s="441">
        <f t="shared" si="26"/>
        <v>0</v>
      </c>
      <c r="M161" s="441">
        <f t="shared" si="26"/>
        <v>0</v>
      </c>
      <c r="N161" s="441">
        <f t="shared" si="26"/>
        <v>0</v>
      </c>
      <c r="O161" s="441">
        <f t="shared" si="26"/>
        <v>0</v>
      </c>
      <c r="P161" s="441">
        <f t="shared" si="26"/>
        <v>0</v>
      </c>
      <c r="Q161" s="441">
        <f t="shared" si="26"/>
        <v>0</v>
      </c>
      <c r="R161" s="441">
        <f t="shared" si="26"/>
        <v>0</v>
      </c>
      <c r="S161" s="441">
        <f t="shared" si="26"/>
        <v>0</v>
      </c>
      <c r="T161" s="441">
        <f t="shared" si="26"/>
        <v>0</v>
      </c>
      <c r="U161" s="441">
        <f t="shared" si="26"/>
        <v>0</v>
      </c>
      <c r="V161" s="441">
        <f t="shared" si="26"/>
        <v>0</v>
      </c>
      <c r="W161" s="441">
        <f t="shared" si="26"/>
        <v>0</v>
      </c>
      <c r="X161" s="441">
        <f t="shared" si="26"/>
        <v>0</v>
      </c>
      <c r="Y161" s="441">
        <f t="shared" si="26"/>
        <v>0</v>
      </c>
      <c r="Z161" s="441">
        <f t="shared" si="26"/>
        <v>0</v>
      </c>
      <c r="AA161" s="441">
        <f t="shared" si="26"/>
        <v>0</v>
      </c>
      <c r="AB161" s="445"/>
      <c r="AC161" s="445"/>
      <c r="AD161" s="443">
        <f>AD160</f>
        <v>40391</v>
      </c>
      <c r="AE161" s="443">
        <f>AE160</f>
        <v>38018</v>
      </c>
      <c r="AF161" s="443">
        <f>DATE(YEAR(AF158)+8,MONTH(AF158),DAY(AF158))+0.01</f>
        <v>43132.01</v>
      </c>
      <c r="AG161" s="443">
        <f>AF161</f>
        <v>43132.01</v>
      </c>
      <c r="AH161" s="443">
        <f>AG161</f>
        <v>43132.01</v>
      </c>
      <c r="AI161" s="441">
        <f t="shared" si="21"/>
        <v>43132.01</v>
      </c>
    </row>
    <row r="162" spans="1:35" ht="12.75">
      <c r="A162" s="433"/>
      <c r="B162" s="433"/>
      <c r="C162" s="433"/>
      <c r="D162" s="433"/>
      <c r="E162" s="433"/>
      <c r="F162" s="433"/>
      <c r="G162" s="433"/>
      <c r="H162" s="433"/>
      <c r="I162" s="433"/>
      <c r="J162" s="433"/>
      <c r="K162" s="433"/>
      <c r="L162" s="433"/>
      <c r="M162" s="433"/>
      <c r="N162" s="433"/>
      <c r="O162" s="433"/>
      <c r="P162" s="433"/>
      <c r="Q162" s="433"/>
      <c r="R162" s="433"/>
      <c r="S162" s="433"/>
      <c r="T162" s="433"/>
      <c r="U162" s="433"/>
      <c r="V162" s="433"/>
      <c r="W162" s="433"/>
      <c r="X162" s="433"/>
      <c r="Y162" s="433"/>
      <c r="Z162" s="433"/>
      <c r="AA162" s="433"/>
      <c r="AB162" s="433"/>
      <c r="AC162" s="433"/>
      <c r="AD162" s="433"/>
      <c r="AE162" s="433"/>
      <c r="AF162" s="433"/>
      <c r="AG162" s="433"/>
      <c r="AH162" s="433"/>
      <c r="AI162" s="433"/>
    </row>
    <row r="163" spans="1:35" ht="12.75">
      <c r="A163" s="433" t="s">
        <v>471</v>
      </c>
      <c r="B163" s="433"/>
      <c r="C163" s="433" t="s">
        <v>472</v>
      </c>
      <c r="D163" s="433" t="s">
        <v>473</v>
      </c>
      <c r="E163" s="433"/>
      <c r="F163" s="433" t="s">
        <v>474</v>
      </c>
      <c r="G163" s="433"/>
      <c r="H163" s="433"/>
      <c r="I163" s="433"/>
      <c r="J163" s="433"/>
      <c r="K163" s="433"/>
      <c r="L163" s="433"/>
      <c r="M163" s="433"/>
      <c r="N163" s="433"/>
      <c r="O163" s="433"/>
      <c r="P163" s="433"/>
      <c r="Q163" s="433"/>
      <c r="R163" s="433"/>
      <c r="S163" s="433"/>
      <c r="T163" s="433"/>
      <c r="U163" s="433"/>
      <c r="V163" s="433"/>
      <c r="W163" s="433"/>
      <c r="X163" s="433"/>
      <c r="Y163" s="433"/>
      <c r="Z163" s="433"/>
      <c r="AA163" s="433"/>
      <c r="AB163" s="433"/>
      <c r="AC163" s="433"/>
      <c r="AD163" s="433"/>
      <c r="AE163" s="433"/>
      <c r="AF163" s="433"/>
      <c r="AG163" s="433"/>
      <c r="AH163" s="433"/>
      <c r="AI163" s="433"/>
    </row>
    <row r="164" spans="1:35" ht="12.75">
      <c r="A164" s="433"/>
      <c r="B164" s="442">
        <f>E140</f>
        <v>0</v>
      </c>
      <c r="C164" s="433">
        <f>IF(B164&lt;B135,IF(B129=1,1975,2525),IF(AND(B164&gt;=B135,B164&lt;B136),IF(B129=1,3750,4850),IF(B129=1,5470,7200)))</f>
        <v>1975</v>
      </c>
      <c r="D164" s="433">
        <f>IF(B164&lt;B135,IF(B129=1,2075,2675),IF(AND(B164&gt;=B135,B164&lt;B136),IF(B129=1,3950,5150),IF(B129=1,5750,7570)))</f>
        <v>2075</v>
      </c>
      <c r="E164" s="433"/>
      <c r="F164" s="433">
        <f>IF(B129=1,IF(B132&lt;B136,4850,7200),IF(B132&lt;B136,5980,9285))</f>
        <v>7200</v>
      </c>
      <c r="G164" s="433"/>
      <c r="H164" s="433"/>
      <c r="I164" s="433"/>
      <c r="J164" s="433"/>
      <c r="K164" s="433"/>
      <c r="L164" s="433"/>
      <c r="M164" s="433"/>
      <c r="N164" s="433"/>
      <c r="O164" s="433"/>
      <c r="P164" s="433"/>
      <c r="Q164" s="433"/>
      <c r="R164" s="433"/>
      <c r="S164" s="433"/>
      <c r="T164" s="433"/>
      <c r="U164" s="433"/>
      <c r="V164" s="433"/>
      <c r="W164" s="433"/>
      <c r="X164" s="433"/>
      <c r="Y164" s="433"/>
      <c r="Z164" s="433"/>
      <c r="AA164" s="433"/>
      <c r="AB164" s="433"/>
      <c r="AC164" s="433"/>
      <c r="AD164" s="433"/>
      <c r="AE164" s="433"/>
      <c r="AF164" s="433"/>
      <c r="AG164" s="433"/>
      <c r="AH164" s="433"/>
      <c r="AI164" s="433"/>
    </row>
    <row r="165" spans="1:35" ht="12.75">
      <c r="A165" s="433"/>
      <c r="B165" s="433"/>
      <c r="C165" s="433"/>
      <c r="D165" s="433"/>
      <c r="E165" s="433"/>
      <c r="F165" s="433"/>
      <c r="G165" s="433"/>
      <c r="H165" s="433"/>
      <c r="I165" s="433"/>
      <c r="J165" s="433"/>
      <c r="K165" s="433"/>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row>
    <row r="166" spans="1:35" ht="38.25">
      <c r="A166" s="433"/>
      <c r="B166" s="433"/>
      <c r="C166" s="433"/>
      <c r="D166" s="433"/>
      <c r="E166" s="447" t="s">
        <v>475</v>
      </c>
      <c r="F166" s="591" t="s">
        <v>476</v>
      </c>
      <c r="G166" s="591"/>
      <c r="H166" s="591"/>
      <c r="I166" s="591"/>
      <c r="J166" s="447" t="s">
        <v>477</v>
      </c>
      <c r="K166" s="447"/>
      <c r="L166" s="447"/>
      <c r="M166" s="447"/>
      <c r="N166" s="448"/>
      <c r="O166" s="433"/>
      <c r="P166" s="433"/>
      <c r="Q166" s="433"/>
      <c r="R166" s="448" t="s">
        <v>475</v>
      </c>
      <c r="S166" s="448" t="s">
        <v>476</v>
      </c>
      <c r="T166" s="448" t="s">
        <v>477</v>
      </c>
      <c r="U166" s="448" t="s">
        <v>478</v>
      </c>
      <c r="V166" s="448" t="s">
        <v>479</v>
      </c>
      <c r="W166" s="447" t="s">
        <v>480</v>
      </c>
      <c r="X166" s="447" t="s">
        <v>481</v>
      </c>
      <c r="Y166" s="449" t="s">
        <v>482</v>
      </c>
      <c r="Z166" s="448" t="s">
        <v>483</v>
      </c>
      <c r="AA166" s="448" t="s">
        <v>484</v>
      </c>
      <c r="AB166" s="448" t="s">
        <v>485</v>
      </c>
      <c r="AC166" s="448" t="s">
        <v>486</v>
      </c>
      <c r="AD166" s="448" t="s">
        <v>487</v>
      </c>
      <c r="AE166" s="433"/>
      <c r="AF166" s="433"/>
      <c r="AG166" s="433"/>
      <c r="AH166" s="433"/>
      <c r="AI166" s="433"/>
    </row>
    <row r="167" spans="1:35" ht="51">
      <c r="A167" s="433" t="s">
        <v>488</v>
      </c>
      <c r="B167" s="433" t="s">
        <v>489</v>
      </c>
      <c r="C167" s="433" t="s">
        <v>472</v>
      </c>
      <c r="D167" s="433"/>
      <c r="E167" s="447" t="s">
        <v>490</v>
      </c>
      <c r="F167" s="449" t="s">
        <v>491</v>
      </c>
      <c r="G167" s="449" t="s">
        <v>490</v>
      </c>
      <c r="H167" s="449" t="s">
        <v>492</v>
      </c>
      <c r="I167" s="449" t="s">
        <v>493</v>
      </c>
      <c r="J167" s="449" t="s">
        <v>491</v>
      </c>
      <c r="K167" s="449" t="s">
        <v>494</v>
      </c>
      <c r="L167" s="449" t="s">
        <v>490</v>
      </c>
      <c r="M167" s="449" t="s">
        <v>492</v>
      </c>
      <c r="N167" s="449" t="s">
        <v>493</v>
      </c>
      <c r="O167" s="433"/>
      <c r="P167" s="433"/>
      <c r="Q167" s="433"/>
      <c r="R167" s="448">
        <v>0</v>
      </c>
      <c r="S167" s="448">
        <v>0</v>
      </c>
      <c r="T167" s="448">
        <v>0</v>
      </c>
      <c r="U167" s="448">
        <v>0</v>
      </c>
      <c r="V167" s="448">
        <v>0</v>
      </c>
      <c r="W167" s="447">
        <v>0</v>
      </c>
      <c r="X167" s="447">
        <v>0</v>
      </c>
      <c r="Y167" s="449">
        <v>0</v>
      </c>
      <c r="Z167" s="448">
        <v>0</v>
      </c>
      <c r="AA167" s="448">
        <v>0</v>
      </c>
      <c r="AB167" s="448">
        <v>0</v>
      </c>
      <c r="AC167" s="448">
        <v>0</v>
      </c>
      <c r="AD167" s="448">
        <v>0</v>
      </c>
      <c r="AE167" s="448">
        <v>0</v>
      </c>
      <c r="AF167" s="433"/>
      <c r="AG167" s="433"/>
      <c r="AH167" s="433"/>
      <c r="AI167" s="433"/>
    </row>
    <row r="168" spans="1:35" ht="12.75">
      <c r="A168" s="433"/>
      <c r="B168" s="436">
        <f>E140</f>
        <v>0</v>
      </c>
      <c r="C168" s="433">
        <f>D164</f>
        <v>2075</v>
      </c>
      <c r="D168" s="433"/>
      <c r="E168" s="435"/>
      <c r="F168" s="435"/>
      <c r="G168" s="435"/>
      <c r="H168" s="435"/>
      <c r="I168" s="435"/>
      <c r="J168" s="435"/>
      <c r="K168" s="435"/>
      <c r="L168" s="435"/>
      <c r="M168" s="435"/>
      <c r="N168" s="433"/>
      <c r="O168" s="433"/>
      <c r="P168" s="433"/>
      <c r="Q168" s="433">
        <v>1</v>
      </c>
      <c r="R168" s="433">
        <v>1975</v>
      </c>
      <c r="S168" s="433">
        <v>3750</v>
      </c>
      <c r="T168" s="433">
        <v>5470</v>
      </c>
      <c r="U168" s="433">
        <v>2025</v>
      </c>
      <c r="V168" s="433">
        <v>3850</v>
      </c>
      <c r="W168" s="433">
        <v>5605</v>
      </c>
      <c r="X168" s="433">
        <v>3772.5</v>
      </c>
      <c r="Y168" s="433">
        <v>3850</v>
      </c>
      <c r="Z168" s="433">
        <v>5484.98</v>
      </c>
      <c r="AA168" s="433">
        <v>5605</v>
      </c>
      <c r="AB168" s="433">
        <v>2075</v>
      </c>
      <c r="AC168" s="433">
        <v>3950</v>
      </c>
      <c r="AD168" s="433">
        <v>5750</v>
      </c>
      <c r="AE168" s="433">
        <v>1</v>
      </c>
      <c r="AF168" s="433">
        <v>1</v>
      </c>
      <c r="AG168" s="433">
        <v>2525</v>
      </c>
      <c r="AH168" s="433">
        <v>4850</v>
      </c>
      <c r="AI168" s="433">
        <v>7200</v>
      </c>
    </row>
    <row r="169" spans="1:35" ht="12.75">
      <c r="A169" s="433"/>
      <c r="B169" s="436">
        <f aca="true" t="shared" si="30" ref="B169:B190">IF(E141=0,B168,E141)</f>
        <v>0</v>
      </c>
      <c r="C169" s="433">
        <f>IF(B168=B169,0,MAX(E169:N169))</f>
        <v>0</v>
      </c>
      <c r="D169" s="433" t="str">
        <f>IF(B169=35977.001,C168,IF(AND(B169=37803.001,VLOOKUP(C168,S167:AE196,13,TRUE)=1),C168," "))</f>
        <v> </v>
      </c>
      <c r="E169" s="435">
        <f>IF(B169&lt;35977.001,VLOOKUP(C168,R167:U193,4,TRUE),0)</f>
        <v>2135</v>
      </c>
      <c r="F169" s="435">
        <f>IF(B169=35977.001,VLOOKUP(C168,R167:Y193,8,TRUE),0)</f>
        <v>0</v>
      </c>
      <c r="G169" s="435">
        <f>IF(AND(B169&gt;35977.001,B169&lt;37803.001),VLOOKUP(C168,S167:V193,4,TRUE),0)</f>
        <v>0</v>
      </c>
      <c r="H169" s="435">
        <f>IF(AND(B140=1,B169=BG140,B169&gt;35977.001,B169&lt;37803.001),BH140,0)</f>
        <v>0</v>
      </c>
      <c r="I169" s="435"/>
      <c r="J169" s="435">
        <f>IF(B169=37803.001,IF(AND(B170&lt;&gt;AK94,B170&lt;&gt;AL94,B170&lt;38169,VLOOKUP(C168,S167:AE193,13,TRUE)=2),C168,VLOOKUP(C168,S167:AA193,9,TRUE)),0)</f>
        <v>0</v>
      </c>
      <c r="K169" s="435"/>
      <c r="L169" s="435">
        <f>IF(B169&gt;37803.001,VLOOKUP(C168,T167:W196,4,TRUE),0)</f>
        <v>0</v>
      </c>
      <c r="M169" s="435">
        <f>IF(AND(B169=BG140,B140=1,C140=1),MAX(BH140,VLOOKUP(C168,T167:AD196,11,TRUE)),0)</f>
        <v>0</v>
      </c>
      <c r="N169" s="433">
        <f>IF(AND(B168=BG140,B140=1,C140=2,B169&gt;37803.001),VLOOKUP(C168,T167:AD196,11,TRUE),0)</f>
        <v>0</v>
      </c>
      <c r="O169" s="433"/>
      <c r="P169" s="433"/>
      <c r="Q169" s="433">
        <v>2</v>
      </c>
      <c r="R169" s="433">
        <v>2025</v>
      </c>
      <c r="S169" s="433">
        <v>3850</v>
      </c>
      <c r="T169" s="433">
        <v>5605</v>
      </c>
      <c r="U169" s="433">
        <v>2075</v>
      </c>
      <c r="V169" s="433">
        <v>3950</v>
      </c>
      <c r="W169" s="433">
        <v>5750</v>
      </c>
      <c r="X169" s="433">
        <v>3867.5</v>
      </c>
      <c r="Y169" s="433">
        <v>3950</v>
      </c>
      <c r="Z169" s="433">
        <v>5631.24</v>
      </c>
      <c r="AA169" s="433">
        <v>5750</v>
      </c>
      <c r="AB169" s="433">
        <v>2135</v>
      </c>
      <c r="AC169" s="433">
        <v>4070</v>
      </c>
      <c r="AD169" s="433">
        <v>5895</v>
      </c>
      <c r="AE169" s="433">
        <v>1</v>
      </c>
      <c r="AF169" s="433">
        <v>2</v>
      </c>
      <c r="AG169" s="433">
        <v>3450</v>
      </c>
      <c r="AH169" s="433">
        <v>5980</v>
      </c>
      <c r="AI169" s="433">
        <v>9285</v>
      </c>
    </row>
    <row r="170" spans="1:35" ht="12.75">
      <c r="A170" s="433"/>
      <c r="B170" s="436">
        <f t="shared" si="30"/>
        <v>0</v>
      </c>
      <c r="C170" s="433">
        <f aca="true" t="shared" si="31" ref="C170:C190">IF(B169=B170,0,MAX(E170:N170))</f>
        <v>0</v>
      </c>
      <c r="D170" s="433" t="str">
        <f>IF(B170=35977.001,C169,IF(AND(B170=37803.001,VLOOKUP(C169,S167:AE196,13,TRUE)=1),C169,IF(AND(B169=37803.001,VLOOKUP(C168,S167:AE196,13,TRUE)=2),C169," ")))</f>
        <v> </v>
      </c>
      <c r="E170" s="435">
        <f>IF(B170&lt;35977.001,VLOOKUP(C169,R167:U193,4,TRUE),0)</f>
        <v>0</v>
      </c>
      <c r="F170" s="435">
        <f>IF(B170=35977.001,VLOOKUP(C169,R167:Y193,8,TRUE),0)</f>
        <v>0</v>
      </c>
      <c r="G170" s="435">
        <f aca="true" t="shared" si="32" ref="G170:G190">IF(AND(B170&gt;35977.001,B170&lt;37803.001),VLOOKUP(C169,S168:V194,4,TRUE),0)</f>
        <v>0</v>
      </c>
      <c r="H170" s="435">
        <f aca="true" t="shared" si="33" ref="H170:H190">IF(AND(B141=1,B170=BG141,B170&gt;35977.001,B170&lt;37803.001),BH141,0)</f>
        <v>0</v>
      </c>
      <c r="I170" s="435"/>
      <c r="J170" s="435">
        <f>IF(B170=37803.001,IF(AND(B171&lt;&gt;AK94,B171&lt;&gt;AL94,B171&lt;38169,VLOOKUP(C169,S167:AE193,13,TRUE)=2),C169,VLOOKUP(C169,S167:AA193,9,TRUE)),0)</f>
        <v>0</v>
      </c>
      <c r="K170" s="435">
        <f>IF(AND(B169=37803.001,J169=C168),VLOOKUP(VLOOKUP(C169,S167:V193,4,TRUE),S167:AA193,9,TRUE),0)</f>
        <v>0</v>
      </c>
      <c r="L170" s="435">
        <f>IF(B170&gt;37803.001,VLOOKUP(C169,T167:W196,4,TRUE),0)</f>
        <v>0</v>
      </c>
      <c r="M170" s="435">
        <f>IF(AND(B170=BG141,B141=1,C141=1),MAX(BH141,VLOOKUP(C169,T167:AD196,11,TRUE)),0)</f>
        <v>0</v>
      </c>
      <c r="N170" s="433">
        <f>IF(AND(B169=BG141,B141=1,C141=2,B170&gt;37803.001),VLOOKUP(C169,T167:AD196,11,TRUE),0)</f>
        <v>0</v>
      </c>
      <c r="O170" s="433"/>
      <c r="P170" s="433"/>
      <c r="Q170" s="433">
        <v>3</v>
      </c>
      <c r="R170" s="433">
        <v>2075</v>
      </c>
      <c r="S170" s="433">
        <v>3950</v>
      </c>
      <c r="T170" s="433">
        <v>5750</v>
      </c>
      <c r="U170" s="433">
        <v>2135</v>
      </c>
      <c r="V170" s="433">
        <v>4070</v>
      </c>
      <c r="W170" s="433">
        <v>5895</v>
      </c>
      <c r="X170" s="433">
        <v>3963.5</v>
      </c>
      <c r="Y170" s="433">
        <v>4070</v>
      </c>
      <c r="Z170" s="433">
        <v>5777.51</v>
      </c>
      <c r="AA170" s="433">
        <v>5895</v>
      </c>
      <c r="AB170" s="433">
        <v>2195</v>
      </c>
      <c r="AC170" s="433">
        <v>4190</v>
      </c>
      <c r="AD170" s="433">
        <v>6040</v>
      </c>
      <c r="AE170" s="433">
        <v>1</v>
      </c>
      <c r="AF170" s="433"/>
      <c r="AG170" s="433"/>
      <c r="AH170" s="433"/>
      <c r="AI170" s="433"/>
    </row>
    <row r="171" spans="1:35" ht="12.75">
      <c r="A171" s="433"/>
      <c r="B171" s="436">
        <f t="shared" si="30"/>
        <v>0</v>
      </c>
      <c r="C171" s="433">
        <f t="shared" si="31"/>
        <v>0</v>
      </c>
      <c r="D171" s="433" t="str">
        <f>IF(B171=35977.001,C170,IF(AND(B171=37803.001,VLOOKUP(C170,S167:AE196,13,TRUE)=1),C170,IF(AND(B170=37803.001,VLOOKUP(C169,S167:AE196,13,TRUE)=2),C170," ")))</f>
        <v> </v>
      </c>
      <c r="E171" s="435">
        <f>IF(B171&lt;35977.001,VLOOKUP(C170,R167:U193,4,TRUE),0)</f>
        <v>0</v>
      </c>
      <c r="F171" s="435">
        <f>IF(B171=35977.001,VLOOKUP(C170,R167:Y193,8,TRUE),0)</f>
        <v>0</v>
      </c>
      <c r="G171" s="435">
        <f t="shared" si="32"/>
        <v>0</v>
      </c>
      <c r="H171" s="435">
        <f t="shared" si="33"/>
        <v>0</v>
      </c>
      <c r="I171" s="435"/>
      <c r="J171" s="435">
        <f>IF(B171=37803.001,IF(AND(B172&lt;&gt;AK94,B172&lt;&gt;AL94,B172&lt;38169,VLOOKUP(C170,S167:AE193,13,TRUE)=2),C170,VLOOKUP(C170,S167:AA193,9,TRUE)),0)</f>
        <v>0</v>
      </c>
      <c r="K171" s="435">
        <f>IF(AND(B170=37803.001,J170=C169),VLOOKUP(VLOOKUP(C170,S167:V193,4,TRUE),S167:AA193,9,TRUE),0)</f>
        <v>0</v>
      </c>
      <c r="L171" s="435">
        <f>IF(B171&gt;37803.001,VLOOKUP(C170,T167:W196,4,TRUE),0)</f>
        <v>0</v>
      </c>
      <c r="M171" s="435">
        <f>IF(AND(B171=BG142,B142=1,C142=1),MAX(BH142,VLOOKUP(C170,T167:AD196,11,TRUE)),0)</f>
        <v>0</v>
      </c>
      <c r="N171" s="433">
        <f>IF(AND(B170=BG142,B142=1,C142=2,B171&gt;37803.001),VLOOKUP(C170,T167:AD196,11,TRUE),0)</f>
        <v>0</v>
      </c>
      <c r="O171" s="433"/>
      <c r="P171" s="433"/>
      <c r="Q171" s="433">
        <v>4</v>
      </c>
      <c r="R171" s="433">
        <v>2135</v>
      </c>
      <c r="S171" s="433">
        <v>4070</v>
      </c>
      <c r="T171" s="433">
        <v>5895</v>
      </c>
      <c r="U171" s="433">
        <v>2195</v>
      </c>
      <c r="V171" s="433">
        <v>4190</v>
      </c>
      <c r="W171" s="433">
        <v>6040</v>
      </c>
      <c r="X171" s="433">
        <v>4078.1</v>
      </c>
      <c r="Y171" s="433">
        <v>4190</v>
      </c>
      <c r="Z171" s="433">
        <v>5952.83</v>
      </c>
      <c r="AA171" s="433">
        <v>6040</v>
      </c>
      <c r="AB171" s="433">
        <v>2255</v>
      </c>
      <c r="AC171" s="433">
        <v>4310</v>
      </c>
      <c r="AD171" s="433">
        <v>6195</v>
      </c>
      <c r="AE171" s="433">
        <v>1</v>
      </c>
      <c r="AF171" s="433"/>
      <c r="AG171" s="433"/>
      <c r="AH171" s="433"/>
      <c r="AI171" s="433"/>
    </row>
    <row r="172" spans="1:35" ht="12.75">
      <c r="A172" s="433"/>
      <c r="B172" s="436">
        <f t="shared" si="30"/>
        <v>0</v>
      </c>
      <c r="C172" s="433">
        <f t="shared" si="31"/>
        <v>0</v>
      </c>
      <c r="D172" s="433" t="str">
        <f>IF(B172=35977.001,C171,IF(AND(B172=37803.001,VLOOKUP(C171,S167:AE196,13,TRUE)=1),C171,IF(AND(B171=37803.001,VLOOKUP(C170,S167:AE196,13,TRUE)=2),C171," ")))</f>
        <v> </v>
      </c>
      <c r="E172" s="435">
        <v>0</v>
      </c>
      <c r="F172" s="435">
        <f>IF(B172=35977.001,VLOOKUP(C171,R167:Y193,8,TRUE),0)</f>
        <v>0</v>
      </c>
      <c r="G172" s="435">
        <f t="shared" si="32"/>
        <v>0</v>
      </c>
      <c r="H172" s="435">
        <f t="shared" si="33"/>
        <v>0</v>
      </c>
      <c r="I172" s="435"/>
      <c r="J172" s="435">
        <f>IF(B172=37803.001,IF(AND(B173&lt;&gt;AK94,B173&lt;&gt;AL94,B173&lt;38169,VLOOKUP(C171,S167:AE193,13,TRUE)=2),C171,VLOOKUP(C171,S167:AA193,9,TRUE)),0)</f>
        <v>0</v>
      </c>
      <c r="K172" s="435">
        <f>IF(AND(B171=37803.001,J171=C170),VLOOKUP(VLOOKUP(C171,S167:V193,4,TRUE),S167:AA193,9,TRUE),0)</f>
        <v>0</v>
      </c>
      <c r="L172" s="435">
        <f>IF(B172&gt;37803.001,VLOOKUP(C171,T167:W196,4,TRUE),0)</f>
        <v>0</v>
      </c>
      <c r="M172" s="435">
        <f>IF(AND(B172=BG143,B143=1,C143=1),MAX(BH143,VLOOKUP(C171,T167:AD196,11,TRUE)),0)</f>
        <v>0</v>
      </c>
      <c r="N172" s="433">
        <f>IF(AND(B171=BG143,B143=1,C143=2,B172&gt;37803.001),VLOOKUP(C171,T167:AD196,11,TRUE),0)</f>
        <v>0</v>
      </c>
      <c r="O172" s="433"/>
      <c r="P172" s="433"/>
      <c r="Q172" s="433">
        <v>5</v>
      </c>
      <c r="R172" s="433">
        <v>2195</v>
      </c>
      <c r="S172" s="433">
        <v>4190</v>
      </c>
      <c r="T172" s="433">
        <v>6040</v>
      </c>
      <c r="U172" s="433">
        <v>2255</v>
      </c>
      <c r="V172" s="433">
        <v>4310</v>
      </c>
      <c r="W172" s="433">
        <v>6195</v>
      </c>
      <c r="X172" s="433">
        <v>4192.7</v>
      </c>
      <c r="Y172" s="433">
        <v>4310</v>
      </c>
      <c r="Z172" s="433">
        <v>6128.15</v>
      </c>
      <c r="AA172" s="433">
        <v>6195</v>
      </c>
      <c r="AB172" s="433">
        <v>2315</v>
      </c>
      <c r="AC172" s="433">
        <v>4430</v>
      </c>
      <c r="AD172" s="433">
        <v>6350</v>
      </c>
      <c r="AE172" s="433">
        <v>1</v>
      </c>
      <c r="AF172" s="433"/>
      <c r="AG172" s="433"/>
      <c r="AH172" s="433"/>
      <c r="AI172" s="433"/>
    </row>
    <row r="173" spans="1:35" ht="12.75">
      <c r="A173" s="433"/>
      <c r="B173" s="436">
        <f t="shared" si="30"/>
        <v>0</v>
      </c>
      <c r="C173" s="433">
        <f t="shared" si="31"/>
        <v>0</v>
      </c>
      <c r="D173" s="433" t="str">
        <f>IF(B173=35977.001,C172,IF(AND(B173=37803.001,VLOOKUP(C172,S167:AE196,13,TRUE)=1),C172,IF(AND(B172=37803.001,VLOOKUP(C171,S167:AE196,13,TRUE)=2),C172," ")))</f>
        <v> </v>
      </c>
      <c r="E173" s="435">
        <v>0</v>
      </c>
      <c r="F173" s="435">
        <f>IF(B173=35977.001,VLOOKUP(C172,R167:Y193,8,TRUE),0)</f>
        <v>0</v>
      </c>
      <c r="G173" s="435">
        <f t="shared" si="32"/>
        <v>0</v>
      </c>
      <c r="H173" s="435">
        <f t="shared" si="33"/>
        <v>0</v>
      </c>
      <c r="I173" s="435"/>
      <c r="J173" s="435">
        <f>IF(B173=37803.001,IF(AND(B174&lt;&gt;AK94,B174&lt;&gt;AL94,B174&lt;38169,VLOOKUP(C172,S167:AE193,13,TRUE)=2),C172,VLOOKUP(C172,S167:AA193,9,TRUE)),0)</f>
        <v>0</v>
      </c>
      <c r="K173" s="435">
        <f>IF(AND(B172=37803.001,J172=C171),VLOOKUP(VLOOKUP(C172,S167:V193,4,TRUE),S167:AA193,9,TRUE),0)</f>
        <v>0</v>
      </c>
      <c r="L173" s="435">
        <f>IF(B173&gt;37803.001,VLOOKUP(C172,T167:W196,4,TRUE),0)</f>
        <v>0</v>
      </c>
      <c r="M173" s="435">
        <f>IF(AND(B173=BG144,B144=1,C144=1),MAX(BH144,VLOOKUP(C172,T167:AD196,11,TRUE)),0)</f>
        <v>0</v>
      </c>
      <c r="N173" s="433">
        <f>IF(AND(B172=BG144,B144=1,C144=2,B173&gt;37803.001),VLOOKUP(C172,T167:AD196,11,TRUE),0)</f>
        <v>0</v>
      </c>
      <c r="O173" s="433"/>
      <c r="P173" s="433"/>
      <c r="Q173" s="433">
        <v>6</v>
      </c>
      <c r="R173" s="433">
        <v>2255</v>
      </c>
      <c r="S173" s="433">
        <v>4310</v>
      </c>
      <c r="T173" s="433">
        <v>6195</v>
      </c>
      <c r="U173" s="433">
        <v>2315</v>
      </c>
      <c r="V173" s="433">
        <v>4430</v>
      </c>
      <c r="W173" s="433">
        <v>6350</v>
      </c>
      <c r="X173" s="433">
        <v>4307.3</v>
      </c>
      <c r="Y173" s="433">
        <v>4310</v>
      </c>
      <c r="Z173" s="433">
        <v>6304.46</v>
      </c>
      <c r="AA173" s="433">
        <v>6350</v>
      </c>
      <c r="AB173" s="433">
        <v>2375</v>
      </c>
      <c r="AC173" s="433">
        <v>4550</v>
      </c>
      <c r="AD173" s="433">
        <v>6505</v>
      </c>
      <c r="AE173" s="433">
        <v>1</v>
      </c>
      <c r="AF173" s="433"/>
      <c r="AG173" s="433"/>
      <c r="AH173" s="433"/>
      <c r="AI173" s="433"/>
    </row>
    <row r="174" spans="1:35" ht="12.75">
      <c r="A174" s="433"/>
      <c r="B174" s="436">
        <f t="shared" si="30"/>
        <v>0</v>
      </c>
      <c r="C174" s="433">
        <f t="shared" si="31"/>
        <v>0</v>
      </c>
      <c r="D174" s="433" t="str">
        <f>IF(B174=35977.001,C173,IF(AND(B174=37803.001,VLOOKUP(C173,S167:AE196,13,TRUE)=1),C173,IF(AND(B173=37803.001,VLOOKUP(C172,S167:AE196,13,TRUE)=2),C173," ")))</f>
        <v> </v>
      </c>
      <c r="E174" s="435">
        <v>0</v>
      </c>
      <c r="F174" s="435">
        <f>IF(B174=35977.001,VLOOKUP(C173,R167:Y193,8,TRUE),0)</f>
        <v>0</v>
      </c>
      <c r="G174" s="435">
        <f t="shared" si="32"/>
        <v>0</v>
      </c>
      <c r="H174" s="435">
        <f t="shared" si="33"/>
        <v>0</v>
      </c>
      <c r="I174" s="435"/>
      <c r="J174" s="435">
        <f>IF(B174=37803.001,IF(AND(B175&lt;&gt;AK94,B175&lt;&gt;AL94,B175&lt;38169,VLOOKUP(C173,S167:AE193,13,TRUE)=2),C173,VLOOKUP(C173,S167:AA193,9,TRUE)),0)</f>
        <v>0</v>
      </c>
      <c r="K174" s="435">
        <f>IF(AND(B173=37803.001,J173=C172),VLOOKUP(VLOOKUP(C173,S167:V193,4,TRUE),S167:AA193,9,TRUE),0)</f>
        <v>0</v>
      </c>
      <c r="L174" s="435">
        <f>IF(B174&gt;37803.001,VLOOKUP(C173,T167:W196,4,TRUE),0)</f>
        <v>0</v>
      </c>
      <c r="M174" s="435">
        <f>IF(AND(B174=BG145,B145=1,C145=1),MAX(BH145,VLOOKUP(C173,T167:AD196,11,TRUE)),0)</f>
        <v>0</v>
      </c>
      <c r="N174" s="433">
        <f>IF(AND(B173=BG145,B145=1,C145=2,B174&gt;37803.001),VLOOKUP(C173,T167:AD196,11,TRUE),0)</f>
        <v>0</v>
      </c>
      <c r="O174" s="433"/>
      <c r="P174" s="433"/>
      <c r="Q174" s="433">
        <v>7</v>
      </c>
      <c r="R174" s="433">
        <v>2315</v>
      </c>
      <c r="S174" s="433">
        <v>4430</v>
      </c>
      <c r="T174" s="433">
        <v>6350</v>
      </c>
      <c r="U174" s="433">
        <v>2375</v>
      </c>
      <c r="V174" s="433">
        <v>4550</v>
      </c>
      <c r="W174" s="433">
        <v>6505</v>
      </c>
      <c r="X174" s="433">
        <v>4421.9</v>
      </c>
      <c r="Y174" s="433">
        <v>4430</v>
      </c>
      <c r="Z174" s="433">
        <v>6479.78</v>
      </c>
      <c r="AA174" s="433">
        <v>6505</v>
      </c>
      <c r="AB174" s="433">
        <v>2450</v>
      </c>
      <c r="AC174" s="433">
        <v>4700</v>
      </c>
      <c r="AD174" s="433">
        <v>6675</v>
      </c>
      <c r="AE174" s="433">
        <v>1</v>
      </c>
      <c r="AF174" s="433"/>
      <c r="AG174" s="433"/>
      <c r="AH174" s="433"/>
      <c r="AI174" s="433"/>
    </row>
    <row r="175" spans="1:35" ht="12.75">
      <c r="A175" s="433"/>
      <c r="B175" s="436">
        <f t="shared" si="30"/>
        <v>0</v>
      </c>
      <c r="C175" s="433">
        <f t="shared" si="31"/>
        <v>0</v>
      </c>
      <c r="D175" s="433" t="str">
        <f>IF(B175=35977.001,C174,IF(AND(B175=37803.001,VLOOKUP(C174,S167:AE196,13,TRUE)=1),C174,IF(AND(B174=37803.001,VLOOKUP(C173,S167:AE196,13,TRUE)=2),C174," ")))</f>
        <v> </v>
      </c>
      <c r="E175" s="435">
        <v>0</v>
      </c>
      <c r="F175" s="435">
        <f>IF(B175=35977.001,VLOOKUP(C174,R167:Y193,8,TRUE),0)</f>
        <v>0</v>
      </c>
      <c r="G175" s="435">
        <f t="shared" si="32"/>
        <v>0</v>
      </c>
      <c r="H175" s="435">
        <f t="shared" si="33"/>
        <v>0</v>
      </c>
      <c r="I175" s="435"/>
      <c r="J175" s="435">
        <f>IF(B175=37803.001,IF(AND(B176&lt;&gt;AK94,B176&lt;&gt;AL94,B176&lt;38169,VLOOKUP(C174,S167:AE193,13,TRUE)=2),C174,VLOOKUP(C174,S167:AA193,9,TRUE)),0)</f>
        <v>0</v>
      </c>
      <c r="K175" s="435">
        <f>IF(AND(B174=37803.001,J174=C173),VLOOKUP(VLOOKUP(C174,S167:V193,4,TRUE),S167:AA193,9,TRUE),0)</f>
        <v>0</v>
      </c>
      <c r="L175" s="435">
        <f>IF(B175&gt;37803.001,VLOOKUP(C174,T167:W196,4,TRUE),0)</f>
        <v>0</v>
      </c>
      <c r="M175" s="435">
        <f>IF(AND(B175=BG146,B146=1,C146=1),MAX(BH146,VLOOKUP(C174,T167:AD196,11,TRUE)),0)</f>
        <v>0</v>
      </c>
      <c r="N175" s="433">
        <f>IF(AND(B174=BG146,B146=1,C146=2,B175&gt;37803.001),VLOOKUP(C174,T167:AD196,11,TRUE),0)</f>
        <v>0</v>
      </c>
      <c r="O175" s="433"/>
      <c r="P175" s="433"/>
      <c r="Q175" s="433">
        <v>8</v>
      </c>
      <c r="R175" s="433">
        <v>2375</v>
      </c>
      <c r="S175" s="433">
        <v>4550</v>
      </c>
      <c r="T175" s="433">
        <v>6505</v>
      </c>
      <c r="U175" s="433">
        <v>2450</v>
      </c>
      <c r="V175" s="433">
        <v>4700</v>
      </c>
      <c r="W175" s="433">
        <v>6675</v>
      </c>
      <c r="X175" s="433">
        <v>4536.5</v>
      </c>
      <c r="Y175" s="433">
        <v>4550</v>
      </c>
      <c r="Z175" s="433">
        <v>6655.1</v>
      </c>
      <c r="AA175" s="433">
        <v>6675</v>
      </c>
      <c r="AB175" s="433">
        <v>2525</v>
      </c>
      <c r="AC175" s="433">
        <v>4850</v>
      </c>
      <c r="AD175" s="433">
        <v>6845</v>
      </c>
      <c r="AE175" s="433">
        <v>2</v>
      </c>
      <c r="AF175" s="433"/>
      <c r="AG175" s="433"/>
      <c r="AH175" s="433"/>
      <c r="AI175" s="433"/>
    </row>
    <row r="176" spans="1:35" ht="12.75">
      <c r="A176" s="433"/>
      <c r="B176" s="436">
        <f t="shared" si="30"/>
        <v>0</v>
      </c>
      <c r="C176" s="433">
        <f t="shared" si="31"/>
        <v>0</v>
      </c>
      <c r="D176" s="433" t="str">
        <f>IF(B176=35977.001,C175,IF(AND(B176=37803.001,VLOOKUP(C175,S167:AE196,13,TRUE)=1),C175,IF(AND(B175=37803.001,VLOOKUP(C174,S167:AE196,13,TRUE)=2),C175," ")))</f>
        <v> </v>
      </c>
      <c r="E176" s="435">
        <v>0</v>
      </c>
      <c r="F176" s="435">
        <f>IF(B176=35977.001,VLOOKUP(C175,R167:Y193,8,TRUE),0)</f>
        <v>0</v>
      </c>
      <c r="G176" s="435">
        <f t="shared" si="32"/>
        <v>0</v>
      </c>
      <c r="H176" s="435">
        <f t="shared" si="33"/>
        <v>0</v>
      </c>
      <c r="I176" s="435"/>
      <c r="J176" s="435">
        <f>IF(B176=37803.001,IF(AND(B177&lt;&gt;AK94,B177&lt;&gt;AL94,B177&lt;38169,VLOOKUP(C175,S167:AE193,13,TRUE)=2),C175,VLOOKUP(C175,S167:AA193,9,TRUE)),0)</f>
        <v>0</v>
      </c>
      <c r="K176" s="435">
        <f>IF(AND(B175=37803.001,J175=C174),VLOOKUP(VLOOKUP(C175,S167:V193,4,TRUE),S167:AA193,9,TRUE),0)</f>
        <v>0</v>
      </c>
      <c r="L176" s="435">
        <f>IF(B176&gt;37803.001,VLOOKUP(C175,T167:W196,4,TRUE),0)</f>
        <v>0</v>
      </c>
      <c r="M176" s="435">
        <f>IF(AND(B176=BG147,B147=1,C147=1),MAX(BH147,VLOOKUP(C175,T167:AD196,11,TRUE)),0)</f>
        <v>0</v>
      </c>
      <c r="N176" s="433">
        <f>IF(AND(B175=BG147,B147=1,C147=2,B176&gt;37803.001),VLOOKUP(C175,T167:AD196,11,TRUE),0)</f>
        <v>0</v>
      </c>
      <c r="O176" s="433"/>
      <c r="P176" s="433"/>
      <c r="Q176" s="433">
        <v>9</v>
      </c>
      <c r="R176" s="433">
        <v>2450</v>
      </c>
      <c r="S176" s="433">
        <v>4700</v>
      </c>
      <c r="T176" s="433">
        <v>6675</v>
      </c>
      <c r="U176" s="433">
        <v>2525</v>
      </c>
      <c r="V176" s="433">
        <v>4850</v>
      </c>
      <c r="W176" s="433">
        <v>6845</v>
      </c>
      <c r="X176" s="433">
        <v>4680</v>
      </c>
      <c r="Y176" s="433">
        <v>4700</v>
      </c>
      <c r="Z176" s="433">
        <v>6874.5</v>
      </c>
      <c r="AA176" s="433">
        <v>7015</v>
      </c>
      <c r="AB176" s="433">
        <v>2600</v>
      </c>
      <c r="AC176" s="433">
        <v>5000</v>
      </c>
      <c r="AD176" s="433">
        <v>7015</v>
      </c>
      <c r="AE176" s="433">
        <v>1</v>
      </c>
      <c r="AF176" s="433"/>
      <c r="AG176" s="433"/>
      <c r="AH176" s="433"/>
      <c r="AI176" s="433"/>
    </row>
    <row r="177" spans="1:35" ht="12.75">
      <c r="A177" s="433"/>
      <c r="B177" s="436">
        <f t="shared" si="30"/>
        <v>0</v>
      </c>
      <c r="C177" s="433">
        <f t="shared" si="31"/>
        <v>0</v>
      </c>
      <c r="D177" s="433" t="str">
        <f>IF(B177=35977.001,C176,IF(AND(B177=37803.001,VLOOKUP(C176,S167:AE196,13,TRUE)=1),C176,IF(AND(B176=37803.001,VLOOKUP(C175,S167:AE196,13,TRUE)=2),C176," ")))</f>
        <v> </v>
      </c>
      <c r="E177" s="435">
        <v>0</v>
      </c>
      <c r="F177" s="435">
        <v>0</v>
      </c>
      <c r="G177" s="435">
        <f t="shared" si="32"/>
        <v>0</v>
      </c>
      <c r="H177" s="435">
        <f t="shared" si="33"/>
        <v>0</v>
      </c>
      <c r="I177" s="435"/>
      <c r="J177" s="435">
        <f>IF(B177=37803.001,IF(AND(B178&lt;&gt;AK94,B178&lt;&gt;AL94,B178&lt;38169,VLOOKUP(C176,S167:AE193,13,TRUE)=2),C176,VLOOKUP(C176,S167:AA193,9,TRUE)),0)</f>
        <v>0</v>
      </c>
      <c r="K177" s="435">
        <f>IF(AND(B176=37803.001,J176=C175),VLOOKUP(VLOOKUP(C176,S167:V193,4,TRUE),S167:AA193,9,TRUE),0)</f>
        <v>0</v>
      </c>
      <c r="L177" s="435">
        <f>IF(B177&gt;37803.001,VLOOKUP(C176,T167:W196,4,TRUE),0)</f>
        <v>0</v>
      </c>
      <c r="M177" s="435">
        <f>IF(AND(B177=BG148,B148=1,C148=1),MAX(BH148,VLOOKUP(C176,T167:AD196,11,TRUE)),0)</f>
        <v>0</v>
      </c>
      <c r="N177" s="433">
        <f>IF(AND(B176=BG148,B148=1,C148=2,B177&gt;37803.001),VLOOKUP(C176,T167:AD196,11,TRUE),0)</f>
        <v>0</v>
      </c>
      <c r="O177" s="433"/>
      <c r="P177" s="433"/>
      <c r="Q177" s="433">
        <v>10</v>
      </c>
      <c r="R177" s="433">
        <v>2525</v>
      </c>
      <c r="S177" s="433">
        <v>4850</v>
      </c>
      <c r="T177" s="433">
        <v>6845</v>
      </c>
      <c r="U177" s="433">
        <v>2600</v>
      </c>
      <c r="V177" s="433">
        <v>5000</v>
      </c>
      <c r="W177" s="433">
        <v>7015</v>
      </c>
      <c r="X177" s="433">
        <v>4822.5</v>
      </c>
      <c r="Y177" s="433">
        <v>4850</v>
      </c>
      <c r="Z177" s="433">
        <v>7093.9</v>
      </c>
      <c r="AA177" s="433">
        <v>7200</v>
      </c>
      <c r="AB177" s="433">
        <v>2675</v>
      </c>
      <c r="AC177" s="433">
        <v>5150</v>
      </c>
      <c r="AD177" s="433">
        <v>7200</v>
      </c>
      <c r="AE177" s="433">
        <v>1</v>
      </c>
      <c r="AF177" s="433"/>
      <c r="AG177" s="433"/>
      <c r="AH177" s="433"/>
      <c r="AI177" s="433"/>
    </row>
    <row r="178" spans="1:35" ht="12.75">
      <c r="A178" s="433"/>
      <c r="B178" s="436">
        <f t="shared" si="30"/>
        <v>0</v>
      </c>
      <c r="C178" s="433">
        <f t="shared" si="31"/>
        <v>0</v>
      </c>
      <c r="D178" s="433" t="str">
        <f>IF(B178=35977.001,C177,IF(AND(B178=37803.001,VLOOKUP(C177,S167:AE196,13,TRUE)=1),C177,IF(AND(B177=37803.001,VLOOKUP(C176,S167:AE196,13,TRUE)=2),C177," ")))</f>
        <v> </v>
      </c>
      <c r="E178" s="435">
        <v>0</v>
      </c>
      <c r="F178" s="435">
        <v>0</v>
      </c>
      <c r="G178" s="435">
        <f t="shared" si="32"/>
        <v>0</v>
      </c>
      <c r="H178" s="435">
        <f t="shared" si="33"/>
        <v>0</v>
      </c>
      <c r="I178" s="435"/>
      <c r="J178" s="435">
        <f>IF(B178=37803.001,IF(VLOOKUP(C177,S167:AE193,13,TRUE)=2,C177,VLOOKUP(C177,S167:AA193,9,TRUE)),0)</f>
        <v>0</v>
      </c>
      <c r="K178" s="435">
        <f>IF(AND(B177=37803.001,J177=C176),VLOOKUP(VLOOKUP(C177,S167:V193,4,TRUE),S167:AA193,9,TRUE),0)</f>
        <v>0</v>
      </c>
      <c r="L178" s="435">
        <f>IF(B178&gt;37803.001,VLOOKUP(C177,T167:W198,4,TRUE),0)</f>
        <v>0</v>
      </c>
      <c r="M178" s="435">
        <f>IF(AND(B178=BG149,B149=1,C149=1),MAX(BH149,VLOOKUP(C177,T167:AD196,11,TRUE)),0)</f>
        <v>0</v>
      </c>
      <c r="N178" s="433">
        <f>IF(AND(B177=BG149,B149=1,C149=2,B178&gt;37803.001),VLOOKUP(C177,T167:AD196,11,TRUE),0)</f>
        <v>0</v>
      </c>
      <c r="O178" s="433"/>
      <c r="P178" s="433"/>
      <c r="Q178" s="433">
        <v>11</v>
      </c>
      <c r="R178" s="433">
        <v>2600</v>
      </c>
      <c r="S178" s="433">
        <v>5000</v>
      </c>
      <c r="T178" s="433">
        <v>7015</v>
      </c>
      <c r="U178" s="433">
        <v>2675</v>
      </c>
      <c r="V178" s="433">
        <v>5150</v>
      </c>
      <c r="W178" s="433">
        <v>7200</v>
      </c>
      <c r="X178" s="433">
        <v>4966</v>
      </c>
      <c r="Y178" s="433">
        <v>5000</v>
      </c>
      <c r="Z178" s="433">
        <v>7313.3</v>
      </c>
      <c r="AA178" s="433">
        <v>7385</v>
      </c>
      <c r="AB178" s="433">
        <v>2750</v>
      </c>
      <c r="AC178" s="433">
        <v>5300</v>
      </c>
      <c r="AD178" s="433">
        <v>7385</v>
      </c>
      <c r="AE178" s="433">
        <v>1</v>
      </c>
      <c r="AF178" s="433"/>
      <c r="AG178" s="433"/>
      <c r="AH178" s="433"/>
      <c r="AI178" s="433"/>
    </row>
    <row r="179" spans="1:35" ht="12.75">
      <c r="A179" s="433"/>
      <c r="B179" s="436">
        <f t="shared" si="30"/>
        <v>0</v>
      </c>
      <c r="C179" s="433">
        <f t="shared" si="31"/>
        <v>0</v>
      </c>
      <c r="D179" s="433" t="str">
        <f>IF(B179=35977.001,C178,IF(AND(B179=37803.001,VLOOKUP(C178,S167:AE196,13,TRUE)=1),C178,IF(AND(B178=37803.001,VLOOKUP(C177,S167:AE196,13,TRUE)=2),C178," ")))</f>
        <v> </v>
      </c>
      <c r="E179" s="435">
        <v>0</v>
      </c>
      <c r="F179" s="435">
        <v>0</v>
      </c>
      <c r="G179" s="435">
        <f t="shared" si="32"/>
        <v>0</v>
      </c>
      <c r="H179" s="435">
        <f t="shared" si="33"/>
        <v>0</v>
      </c>
      <c r="I179" s="435"/>
      <c r="J179" s="435">
        <f>IF(B179=37803.001,IF(VLOOKUP(C178,S167:AE193,13,TRUE)=2,C178,VLOOKUP(C178,S167:AA193,9,TRUE)),0)</f>
        <v>0</v>
      </c>
      <c r="K179" s="435">
        <f>IF(AND(B178=37803.001,J178=C177),VLOOKUP(VLOOKUP(C178,S167:V193,4,TRUE),S167:AA193,9,TRUE),0)</f>
        <v>0</v>
      </c>
      <c r="L179" s="435">
        <f>IF(B179&gt;37803.001,VLOOKUP(C178,T167:W198,4,TRUE),0)</f>
        <v>0</v>
      </c>
      <c r="M179" s="435">
        <f>IF(AND(B179=BG150,B150=1,C150=1),MAX(BH150,VLOOKUP(C178,T167:AD196,11,TRUE)),0)</f>
        <v>0</v>
      </c>
      <c r="N179" s="433">
        <f>IF(AND(B178=BG150,B150=1,C150=2,B179&gt;37803.001),VLOOKUP(C178,T167:AD196,11,TRUE),0)</f>
        <v>0</v>
      </c>
      <c r="O179" s="433"/>
      <c r="P179" s="433"/>
      <c r="Q179" s="433">
        <v>12</v>
      </c>
      <c r="R179" s="433">
        <v>2675</v>
      </c>
      <c r="S179" s="433">
        <v>5150</v>
      </c>
      <c r="T179" s="433">
        <v>7200</v>
      </c>
      <c r="U179" s="433">
        <v>2750</v>
      </c>
      <c r="V179" s="433">
        <v>5300</v>
      </c>
      <c r="W179" s="433">
        <v>7385</v>
      </c>
      <c r="X179" s="433">
        <v>5109.5</v>
      </c>
      <c r="Y179" s="433">
        <v>5150</v>
      </c>
      <c r="Z179" s="433">
        <v>7532.7</v>
      </c>
      <c r="AA179" s="433">
        <v>7570</v>
      </c>
      <c r="AB179" s="433">
        <v>2840</v>
      </c>
      <c r="AC179" s="433">
        <v>5470</v>
      </c>
      <c r="AD179" s="433">
        <v>7570</v>
      </c>
      <c r="AE179" s="433">
        <v>1</v>
      </c>
      <c r="AF179" s="433"/>
      <c r="AG179" s="433"/>
      <c r="AH179" s="433"/>
      <c r="AI179" s="433"/>
    </row>
    <row r="180" spans="1:35" ht="12.75">
      <c r="A180" s="433"/>
      <c r="B180" s="436">
        <f t="shared" si="30"/>
        <v>0</v>
      </c>
      <c r="C180" s="433">
        <f t="shared" si="31"/>
        <v>0</v>
      </c>
      <c r="D180" s="433" t="str">
        <f>IF(B180=35977.001,C179,IF(AND(B180=37803.001,VLOOKUP(C179,S167:AE196,13,TRUE)=1),C179,IF(AND(B179=37803.001,VLOOKUP(C178,S167:AE196,13,TRUE)=2),C179," ")))</f>
        <v> </v>
      </c>
      <c r="E180" s="435">
        <v>0</v>
      </c>
      <c r="F180" s="435">
        <v>0</v>
      </c>
      <c r="G180" s="435">
        <f t="shared" si="32"/>
        <v>0</v>
      </c>
      <c r="H180" s="435">
        <f t="shared" si="33"/>
        <v>0</v>
      </c>
      <c r="I180" s="435"/>
      <c r="J180" s="435">
        <f>IF(B180=37803.001,IF(VLOOKUP(C179,S167:AE193,13,TRUE)=2,C179,VLOOKUP(C179,S167:AA193,9,TRUE)),0)</f>
        <v>0</v>
      </c>
      <c r="K180" s="435">
        <f>IF(AND(B179=37803.001,J179=C178),VLOOKUP(VLOOKUP(C179,S167:V193,4,TRUE),S167:AA193,9,TRUE),0)</f>
        <v>0</v>
      </c>
      <c r="L180" s="435">
        <f>IF(B180&gt;37803.001,VLOOKUP(C179,T167:W198,4,TRUE),0)</f>
        <v>0</v>
      </c>
      <c r="M180" s="435">
        <f>IF(AND(B180=BG151,B151=1,C151=1),MAX(BH151,VLOOKUP(C179,T167:AD196,11,TRUE)),0)</f>
        <v>0</v>
      </c>
      <c r="N180" s="433">
        <f>IF(AND(B179=BG151,B151=1,C151=2,B180&gt;37803.001),VLOOKUP(C179,T167:AD196,11,TRUE),0)</f>
        <v>0</v>
      </c>
      <c r="O180" s="433"/>
      <c r="P180" s="433"/>
      <c r="Q180" s="433">
        <v>13</v>
      </c>
      <c r="R180" s="433">
        <v>2750</v>
      </c>
      <c r="S180" s="433">
        <v>5300</v>
      </c>
      <c r="T180" s="433">
        <v>7385</v>
      </c>
      <c r="U180" s="433">
        <v>2840</v>
      </c>
      <c r="V180" s="433">
        <v>5470</v>
      </c>
      <c r="W180" s="433">
        <v>7570</v>
      </c>
      <c r="X180" s="433">
        <v>5253</v>
      </c>
      <c r="Y180" s="433">
        <v>5300</v>
      </c>
      <c r="Z180" s="433">
        <v>7752.1</v>
      </c>
      <c r="AA180" s="433">
        <v>7770</v>
      </c>
      <c r="AB180" s="433">
        <v>2930</v>
      </c>
      <c r="AC180" s="433">
        <v>5640</v>
      </c>
      <c r="AD180" s="433">
        <v>7770</v>
      </c>
      <c r="AE180" s="433">
        <v>2</v>
      </c>
      <c r="AF180" s="433"/>
      <c r="AG180" s="433"/>
      <c r="AH180" s="433"/>
      <c r="AI180" s="433"/>
    </row>
    <row r="181" spans="1:35" ht="12.75">
      <c r="A181" s="433"/>
      <c r="B181" s="436">
        <f t="shared" si="30"/>
        <v>0</v>
      </c>
      <c r="C181" s="433">
        <f t="shared" si="31"/>
        <v>0</v>
      </c>
      <c r="D181" s="433" t="str">
        <f>IF(B181=35977.001,C180,IF(AND(B181=37803.001,VLOOKUP(C180,S167:AE196,13,TRUE)=1),C180,IF(AND(B180=37803.001,VLOOKUP(C179,S167:AE196,13,TRUE)=2),C180," ")))</f>
        <v> </v>
      </c>
      <c r="E181" s="435">
        <v>0</v>
      </c>
      <c r="F181" s="435">
        <v>0</v>
      </c>
      <c r="G181" s="435">
        <f t="shared" si="32"/>
        <v>0</v>
      </c>
      <c r="H181" s="435">
        <f t="shared" si="33"/>
        <v>0</v>
      </c>
      <c r="I181" s="435"/>
      <c r="J181" s="435">
        <f>IF(B181=37803.001,IF(VLOOKUP(C180,S167:AE193,13,TRUE)=2,C180,VLOOKUP(C180,S167:AA193,9,TRUE)),0)</f>
        <v>0</v>
      </c>
      <c r="K181" s="435">
        <f>IF(AND(B180=37803.001,J180=C179),VLOOKUP(VLOOKUP(C180,S167:V193,4,TRUE),S167:AA193,9,TRUE),0)</f>
        <v>0</v>
      </c>
      <c r="L181" s="435">
        <f>IF(B181&gt;37803.001,VLOOKUP(C180,T167:W198,4,TRUE),0)</f>
        <v>0</v>
      </c>
      <c r="M181" s="435">
        <f>IF(AND(B181=BG152,B152=1,C152=1),MAX(BH152,VLOOKUP(C180,T167:AD196,11,TRUE)),0)</f>
        <v>0</v>
      </c>
      <c r="N181" s="433">
        <f>IF(AND(B180=BG152,B152=1,C152=2,B181&gt;37803.001),VLOOKUP(C180,T167:AD196,11,TRUE),0)</f>
        <v>0</v>
      </c>
      <c r="O181" s="433"/>
      <c r="P181" s="433"/>
      <c r="Q181" s="433">
        <v>14</v>
      </c>
      <c r="R181" s="433">
        <v>2840</v>
      </c>
      <c r="S181" s="433">
        <v>5470</v>
      </c>
      <c r="T181" s="433">
        <v>7570</v>
      </c>
      <c r="U181" s="433">
        <v>2930</v>
      </c>
      <c r="V181" s="433">
        <v>5640</v>
      </c>
      <c r="W181" s="433">
        <v>7770</v>
      </c>
      <c r="X181" s="433">
        <v>5424.4</v>
      </c>
      <c r="Y181" s="433">
        <v>5470</v>
      </c>
      <c r="Z181" s="433">
        <v>8000.55</v>
      </c>
      <c r="AA181" s="433">
        <v>8170</v>
      </c>
      <c r="AB181" s="433">
        <v>3020</v>
      </c>
      <c r="AC181" s="433">
        <v>5810</v>
      </c>
      <c r="AD181" s="433">
        <v>7970</v>
      </c>
      <c r="AE181" s="433">
        <v>1</v>
      </c>
      <c r="AF181" s="433"/>
      <c r="AG181" s="433"/>
      <c r="AH181" s="433"/>
      <c r="AI181" s="433"/>
    </row>
    <row r="182" spans="1:35" ht="12.75">
      <c r="A182" s="433"/>
      <c r="B182" s="436">
        <f t="shared" si="30"/>
        <v>0</v>
      </c>
      <c r="C182" s="433">
        <f t="shared" si="31"/>
        <v>0</v>
      </c>
      <c r="D182" s="433" t="str">
        <f>IF(B182=35977.001,C181,IF(AND(B182=37803.001,VLOOKUP(C181,S167:AE196,13,TRUE)=1),C181,IF(AND(B181=37803.001,VLOOKUP(C180,S167:AE196,13,TRUE)=2),C181," ")))</f>
        <v> </v>
      </c>
      <c r="E182" s="435">
        <v>0</v>
      </c>
      <c r="F182" s="435">
        <v>0</v>
      </c>
      <c r="G182" s="435">
        <f t="shared" si="32"/>
        <v>0</v>
      </c>
      <c r="H182" s="435">
        <f t="shared" si="33"/>
        <v>0</v>
      </c>
      <c r="I182" s="435"/>
      <c r="J182" s="435">
        <f>IF(B182=37803.001,IF(VLOOKUP(C181,S167:AE193,13,TRUE)=2,C181,VLOOKUP(C181,S167:AA193,9,TRUE)),0)</f>
        <v>0</v>
      </c>
      <c r="K182" s="435">
        <f>IF(AND(B181=37803.001,J181=C180),VLOOKUP(VLOOKUP(C181,S167:V193,4,TRUE),S167:AA193,9,TRUE),0)</f>
        <v>0</v>
      </c>
      <c r="L182" s="435">
        <f>IF(B182&gt;37803.001,VLOOKUP(C181,T167:W198,4,TRUE),0)</f>
        <v>0</v>
      </c>
      <c r="M182" s="435">
        <f>IF(AND(B182=BG153,B153=1,C153=1),MAX(BH153,VLOOKUP(C181,T167:AD196,11,TRUE)),0)</f>
        <v>0</v>
      </c>
      <c r="N182" s="433">
        <f>IF(AND(B181=BG153,B153=1,C153=2,B182&gt;37803.001),VLOOKUP(C181,T167:AD196,11,TRUE),0)</f>
        <v>0</v>
      </c>
      <c r="O182" s="433"/>
      <c r="P182" s="433"/>
      <c r="Q182" s="433">
        <v>15</v>
      </c>
      <c r="R182" s="433">
        <v>2930</v>
      </c>
      <c r="S182" s="433">
        <v>5640</v>
      </c>
      <c r="T182" s="433">
        <v>7770</v>
      </c>
      <c r="U182" s="433">
        <v>3020</v>
      </c>
      <c r="V182" s="433">
        <v>5810</v>
      </c>
      <c r="W182" s="433">
        <v>7970</v>
      </c>
      <c r="X182" s="433">
        <v>5596.8</v>
      </c>
      <c r="Y182" s="433">
        <v>5640</v>
      </c>
      <c r="Z182" s="433">
        <v>8249</v>
      </c>
      <c r="AA182" s="433">
        <v>8385</v>
      </c>
      <c r="AB182" s="433">
        <v>3110</v>
      </c>
      <c r="AC182" s="433">
        <v>5980</v>
      </c>
      <c r="AD182" s="433">
        <v>8170</v>
      </c>
      <c r="AE182" s="433">
        <v>1</v>
      </c>
      <c r="AF182" s="433"/>
      <c r="AG182" s="433"/>
      <c r="AH182" s="433"/>
      <c r="AI182" s="433"/>
    </row>
    <row r="183" spans="1:35" ht="12.75">
      <c r="A183" s="433"/>
      <c r="B183" s="436">
        <f t="shared" si="30"/>
        <v>0</v>
      </c>
      <c r="C183" s="433">
        <f t="shared" si="31"/>
        <v>0</v>
      </c>
      <c r="D183" s="433" t="str">
        <f>IF(B183=35977.001,C182,IF(AND(B183=37803.001,VLOOKUP(C182,S167:AE196,13,TRUE)=1),C182,IF(AND(B182=37803.001,VLOOKUP(C181,S167:AE196,13,TRUE)=2),C182," ")))</f>
        <v> </v>
      </c>
      <c r="E183" s="435">
        <v>0</v>
      </c>
      <c r="F183" s="435">
        <v>0</v>
      </c>
      <c r="G183" s="435">
        <f t="shared" si="32"/>
        <v>0</v>
      </c>
      <c r="H183" s="435">
        <f t="shared" si="33"/>
        <v>0</v>
      </c>
      <c r="I183" s="435"/>
      <c r="J183" s="435">
        <f>IF(B183=37803.001,IF(VLOOKUP(C182,S167:AE193,13,TRUE)=2,C182,VLOOKUP(C182,S167:AA193,9,TRUE)),0)</f>
        <v>0</v>
      </c>
      <c r="K183" s="435">
        <f>IF(AND(B182=37803.001,J182=C181),VLOOKUP(VLOOKUP(C182,S167:V193,4,TRUE),S167:AA193,9,TRUE),0)</f>
        <v>0</v>
      </c>
      <c r="L183" s="435">
        <f>IF(B183&gt;37803.001,VLOOKUP(C182,T167:W198,4,TRUE),0)</f>
        <v>0</v>
      </c>
      <c r="M183" s="435">
        <f>IF(AND(B183=BG154,B154=1,C154=1),MAX(BH154,VLOOKUP(C182,T167:AD196,11,TRUE)),0)</f>
        <v>0</v>
      </c>
      <c r="N183" s="433">
        <f>IF(AND(B182=BG154,B154=1,C154=2,B183&gt;37803.001),VLOOKUP(C182,T167:AD196,11,TRUE),0)</f>
        <v>0</v>
      </c>
      <c r="O183" s="433"/>
      <c r="P183" s="433"/>
      <c r="Q183" s="433">
        <v>16</v>
      </c>
      <c r="R183" s="433">
        <v>3020</v>
      </c>
      <c r="S183" s="433">
        <v>5810</v>
      </c>
      <c r="T183" s="433">
        <v>7970</v>
      </c>
      <c r="U183" s="433">
        <v>3110</v>
      </c>
      <c r="V183" s="433">
        <v>5980</v>
      </c>
      <c r="W183" s="433">
        <v>8170</v>
      </c>
      <c r="X183" s="433">
        <v>5768.2</v>
      </c>
      <c r="Y183" s="433">
        <v>5810</v>
      </c>
      <c r="Z183" s="433">
        <v>8498.45</v>
      </c>
      <c r="AA183" s="433">
        <v>8600</v>
      </c>
      <c r="AB183" s="433">
        <v>3200</v>
      </c>
      <c r="AC183" s="433">
        <v>6150</v>
      </c>
      <c r="AD183" s="433">
        <v>8385</v>
      </c>
      <c r="AE183" s="433">
        <v>1</v>
      </c>
      <c r="AF183" s="433"/>
      <c r="AG183" s="433"/>
      <c r="AH183" s="433"/>
      <c r="AI183" s="433"/>
    </row>
    <row r="184" spans="1:35" ht="12.75">
      <c r="A184" s="433"/>
      <c r="B184" s="436">
        <f t="shared" si="30"/>
        <v>0</v>
      </c>
      <c r="C184" s="433">
        <f t="shared" si="31"/>
        <v>0</v>
      </c>
      <c r="D184" s="433" t="str">
        <f>IF(B184=35977.001,C183,IF(AND(B184=37803.001,VLOOKUP(C183,S167:AE196,13,TRUE)=1),C183,IF(AND(B183=37803.001,VLOOKUP(C182,S167:AE196,13,TRUE)=2),C183," ")))</f>
        <v> </v>
      </c>
      <c r="E184" s="435">
        <v>0</v>
      </c>
      <c r="F184" s="435">
        <v>0</v>
      </c>
      <c r="G184" s="435">
        <f t="shared" si="32"/>
        <v>0</v>
      </c>
      <c r="H184" s="435">
        <f t="shared" si="33"/>
        <v>0</v>
      </c>
      <c r="I184" s="435"/>
      <c r="J184" s="435">
        <f>IF(B184=37803.001,IF(VLOOKUP(C183,S167:AE193,13,TRUE)=2,C183,VLOOKUP(C183,S167:AA193,9,TRUE)),0)</f>
        <v>0</v>
      </c>
      <c r="K184" s="435">
        <f>IF(AND(B183=37803.001,J183=C182),VLOOKUP(VLOOKUP(C183,S167:V193,4,TRUE),S167:AA193,9,TRUE),0)</f>
        <v>0</v>
      </c>
      <c r="L184" s="435">
        <f>IF(B184&gt;37803.001,VLOOKUP(C183,T167:W198,4,TRUE),0)</f>
        <v>0</v>
      </c>
      <c r="M184" s="435">
        <f>IF(AND(B184=BG155,B155=1,C155=1),MAX(BH155,VLOOKUP(C183,T167:AD196,11,TRUE)),0)</f>
        <v>0</v>
      </c>
      <c r="N184" s="433">
        <f>IF(AND(B183=BG155,B155=1,C155=2,B184&gt;37803.001),VLOOKUP(C183,T167:AD196,11,TRUE),0)</f>
        <v>0</v>
      </c>
      <c r="O184" s="433"/>
      <c r="P184" s="433"/>
      <c r="Q184" s="433">
        <v>17</v>
      </c>
      <c r="R184" s="433">
        <v>3110</v>
      </c>
      <c r="S184" s="433">
        <v>5980</v>
      </c>
      <c r="T184" s="433">
        <v>8170</v>
      </c>
      <c r="U184" s="433">
        <v>3200</v>
      </c>
      <c r="V184" s="433">
        <v>6150</v>
      </c>
      <c r="W184" s="433">
        <v>8385</v>
      </c>
      <c r="X184" s="433">
        <v>5940.6</v>
      </c>
      <c r="Y184" s="433">
        <v>5980</v>
      </c>
      <c r="Z184" s="433">
        <v>8746.91</v>
      </c>
      <c r="AA184" s="433">
        <v>8815</v>
      </c>
      <c r="AB184" s="433">
        <v>3290</v>
      </c>
      <c r="AC184" s="433">
        <v>6350</v>
      </c>
      <c r="AD184" s="433">
        <v>8600</v>
      </c>
      <c r="AE184" s="433">
        <v>1</v>
      </c>
      <c r="AF184" s="433"/>
      <c r="AG184" s="433"/>
      <c r="AH184" s="433"/>
      <c r="AI184" s="433"/>
    </row>
    <row r="185" spans="1:35" ht="12.75">
      <c r="A185" s="433"/>
      <c r="B185" s="436">
        <f t="shared" si="30"/>
        <v>0</v>
      </c>
      <c r="C185" s="433">
        <f t="shared" si="31"/>
        <v>0</v>
      </c>
      <c r="D185" s="433" t="str">
        <f>IF(B185=35977.001,C184,IF(AND(B185=37803.001,VLOOKUP(C184,S167:AE196,13,TRUE)=1),C184,IF(AND(B184=37803.001,VLOOKUP(C183,S167:AE196,13,TRUE)=2),C184," ")))</f>
        <v> </v>
      </c>
      <c r="E185" s="435">
        <v>0</v>
      </c>
      <c r="F185" s="435">
        <v>0</v>
      </c>
      <c r="G185" s="435">
        <f t="shared" si="32"/>
        <v>0</v>
      </c>
      <c r="H185" s="435">
        <f t="shared" si="33"/>
        <v>0</v>
      </c>
      <c r="I185" s="435"/>
      <c r="J185" s="435">
        <f>IF(B185=37803.001,IF(VLOOKUP(C184,S167:AE193,13,TRUE)=2,C184,VLOOKUP(C184,S167:AA193,9,TRUE)),0)</f>
        <v>0</v>
      </c>
      <c r="K185" s="435">
        <f>IF(AND(B184=37803.001,J184=C183),VLOOKUP(VLOOKUP(C184,S167:V193,4,TRUE),S167:AA193,9,TRUE),0)</f>
        <v>0</v>
      </c>
      <c r="L185" s="435">
        <f>IF(B185&gt;37803.001,VLOOKUP(C184,T167:W198,4,TRUE),0)</f>
        <v>0</v>
      </c>
      <c r="M185" s="435">
        <f>IF(AND(B185=BG156,B156=1,C156=1),MAX(BH156,VLOOKUP(C184,T167:AD196,11,TRUE)),0)</f>
        <v>0</v>
      </c>
      <c r="N185" s="433">
        <f>IF(AND(B184=BG156,B156=1,C156=2,B185&gt;37803.001),VLOOKUP(C184,T167:AD196,11,TRUE),0)</f>
        <v>0</v>
      </c>
      <c r="O185" s="433"/>
      <c r="P185" s="433"/>
      <c r="Q185" s="433">
        <v>18</v>
      </c>
      <c r="R185" s="433">
        <v>3200</v>
      </c>
      <c r="S185" s="433">
        <v>6150</v>
      </c>
      <c r="T185" s="433">
        <v>8385</v>
      </c>
      <c r="U185" s="433">
        <v>3290</v>
      </c>
      <c r="V185" s="433">
        <v>6350</v>
      </c>
      <c r="W185" s="433">
        <v>8600</v>
      </c>
      <c r="X185" s="433">
        <v>6112</v>
      </c>
      <c r="Y185" s="433">
        <v>6150</v>
      </c>
      <c r="Z185" s="433">
        <v>8995.36</v>
      </c>
      <c r="AA185" s="433">
        <v>9050</v>
      </c>
      <c r="AB185" s="433">
        <v>3340</v>
      </c>
      <c r="AC185" s="433">
        <v>6550</v>
      </c>
      <c r="AD185" s="433">
        <v>8815</v>
      </c>
      <c r="AE185" s="433">
        <v>2</v>
      </c>
      <c r="AF185" s="433"/>
      <c r="AG185" s="433"/>
      <c r="AH185" s="433"/>
      <c r="AI185" s="433"/>
    </row>
    <row r="186" spans="1:35" ht="12.75">
      <c r="A186" s="433"/>
      <c r="B186" s="436">
        <f t="shared" si="30"/>
        <v>0</v>
      </c>
      <c r="C186" s="433">
        <f t="shared" si="31"/>
        <v>0</v>
      </c>
      <c r="D186" s="433" t="str">
        <f>IF(B186=35977.001,C185,IF(AND(B186=37803.001,VLOOKUP(C185,S167:AE196,13,TRUE)=1),C185,IF(AND(B185=37803.001,VLOOKUP(C184,S167:AE196,13,TRUE)=2),C185," ")))</f>
        <v> </v>
      </c>
      <c r="E186" s="435">
        <v>0</v>
      </c>
      <c r="F186" s="435">
        <v>0</v>
      </c>
      <c r="G186" s="435">
        <f t="shared" si="32"/>
        <v>0</v>
      </c>
      <c r="H186" s="435">
        <f t="shared" si="33"/>
        <v>0</v>
      </c>
      <c r="I186" s="435"/>
      <c r="J186" s="435">
        <f>IF(B186=37803.001,IF(VLOOKUP(C185,S167:AE193,13,TRUE)=2,C185,VLOOKUP(C185,S167:AA193,9,TRUE)),0)</f>
        <v>0</v>
      </c>
      <c r="K186" s="435">
        <f>IF(AND(B185=37803.001,J185=C184),VLOOKUP(VLOOKUP(C185,S167:V193,4,TRUE),S167:AA193,9,TRUE),0)</f>
        <v>0</v>
      </c>
      <c r="L186" s="435">
        <f>IF(B186&gt;37803.001,VLOOKUP(C185,T167:W198,4,TRUE),0)</f>
        <v>0</v>
      </c>
      <c r="M186" s="435">
        <f>IF(AND(B186=BG157,B157=1,C157=1),MAX(BH157,VLOOKUP(C185,T167:AD196,11,TRUE)),0)</f>
        <v>0</v>
      </c>
      <c r="N186" s="433">
        <f>IF(AND(B185=BG157,B157=1,C157=2,B186&gt;37803.001),VLOOKUP(C185,T167:AD196,11,TRUE),0)</f>
        <v>0</v>
      </c>
      <c r="O186" s="433"/>
      <c r="P186" s="433"/>
      <c r="Q186" s="433">
        <v>19</v>
      </c>
      <c r="R186" s="433">
        <v>3290</v>
      </c>
      <c r="S186" s="433">
        <v>6350</v>
      </c>
      <c r="T186" s="433">
        <v>8600</v>
      </c>
      <c r="U186" s="433">
        <v>3340</v>
      </c>
      <c r="V186" s="433">
        <v>6550</v>
      </c>
      <c r="W186" s="433">
        <v>8815</v>
      </c>
      <c r="X186" s="433">
        <v>6284.4</v>
      </c>
      <c r="Y186" s="433">
        <v>6350</v>
      </c>
      <c r="Z186" s="433">
        <v>9287.89</v>
      </c>
      <c r="AA186" s="433">
        <v>9520</v>
      </c>
      <c r="AB186" s="433">
        <v>3390</v>
      </c>
      <c r="AC186" s="433">
        <v>6750</v>
      </c>
      <c r="AD186" s="433">
        <v>9050</v>
      </c>
      <c r="AE186" s="433">
        <v>1</v>
      </c>
      <c r="AF186" s="433"/>
      <c r="AG186" s="433"/>
      <c r="AH186" s="433"/>
      <c r="AI186" s="433"/>
    </row>
    <row r="187" spans="1:35" ht="12.75">
      <c r="A187" s="433"/>
      <c r="B187" s="436">
        <f t="shared" si="30"/>
        <v>0</v>
      </c>
      <c r="C187" s="433">
        <f t="shared" si="31"/>
        <v>0</v>
      </c>
      <c r="D187" s="433" t="str">
        <f>IF(B187=35977.001,C186,IF(AND(B187=37803.001,VLOOKUP(C186,S167:AE196,13,TRUE)=1),C186,IF(AND(B186=37803.001,VLOOKUP(C185,S167:AE196,13,TRUE)=2),C186," ")))</f>
        <v> </v>
      </c>
      <c r="E187" s="435">
        <v>0</v>
      </c>
      <c r="F187" s="435">
        <v>0</v>
      </c>
      <c r="G187" s="435">
        <f t="shared" si="32"/>
        <v>0</v>
      </c>
      <c r="H187" s="435">
        <f t="shared" si="33"/>
        <v>0</v>
      </c>
      <c r="I187" s="435"/>
      <c r="J187" s="435">
        <f>IF(B187=37803.001,IF(VLOOKUP(C186,S167:AE193,13,TRUE)=2,C186,VLOOKUP(C186,S167:AA193,9,TRUE)),0)</f>
        <v>0</v>
      </c>
      <c r="K187" s="435">
        <f>IF(AND(B186=37803.001,J186=C185),VLOOKUP(VLOOKUP(C186,S167:V193,4,TRUE),S167:AA193,9,TRUE),0)</f>
        <v>0</v>
      </c>
      <c r="L187" s="435">
        <f>IF(B187&gt;37803.001,VLOOKUP(C186,T167:W198,4,TRUE),0)</f>
        <v>0</v>
      </c>
      <c r="M187" s="435">
        <f>IF(AND(B187=BG158,B158=1,C158=1),MAX(BH158,VLOOKUP(C186,T167:AD196,11,TRUE)),0)</f>
        <v>0</v>
      </c>
      <c r="N187" s="433">
        <f>IF(AND(B186=BG158,B158=1,C158=2,B187&gt;37803.001),VLOOKUP(C186,T167:AD196,11,TRUE),0)</f>
        <v>0</v>
      </c>
      <c r="O187" s="433"/>
      <c r="P187" s="433"/>
      <c r="Q187" s="433">
        <v>20</v>
      </c>
      <c r="R187" s="433">
        <v>3340</v>
      </c>
      <c r="S187" s="433">
        <v>6550</v>
      </c>
      <c r="T187" s="433">
        <v>8815</v>
      </c>
      <c r="U187" s="433">
        <v>3390</v>
      </c>
      <c r="V187" s="433">
        <v>6750</v>
      </c>
      <c r="W187" s="433">
        <v>9050</v>
      </c>
      <c r="X187" s="433">
        <v>6379.4</v>
      </c>
      <c r="Y187" s="433">
        <v>6550</v>
      </c>
      <c r="Z187" s="433">
        <v>9580.42</v>
      </c>
      <c r="AA187" s="433">
        <v>9775</v>
      </c>
      <c r="AB187" s="433">
        <v>3440</v>
      </c>
      <c r="AC187" s="433">
        <v>6950</v>
      </c>
      <c r="AD187" s="433">
        <v>9285</v>
      </c>
      <c r="AE187" s="433">
        <v>1</v>
      </c>
      <c r="AF187" s="433"/>
      <c r="AG187" s="433"/>
      <c r="AH187" s="433"/>
      <c r="AI187" s="433"/>
    </row>
    <row r="188" spans="1:35" ht="12.75">
      <c r="A188" s="433"/>
      <c r="B188" s="436">
        <f t="shared" si="30"/>
        <v>0</v>
      </c>
      <c r="C188" s="433">
        <f t="shared" si="31"/>
        <v>0</v>
      </c>
      <c r="D188" s="433" t="str">
        <f>IF(B188=35977.001,C187,IF(AND(B188=37803.001,VLOOKUP(C187,S167:AE196,13,TRUE)=1),C187,IF(AND(B187=37803.001,VLOOKUP(C186,S167:AE196,13,TRUE)=2),C187," ")))</f>
        <v> </v>
      </c>
      <c r="E188" s="435">
        <v>0</v>
      </c>
      <c r="F188" s="435">
        <v>0</v>
      </c>
      <c r="G188" s="435">
        <f t="shared" si="32"/>
        <v>0</v>
      </c>
      <c r="H188" s="435">
        <f t="shared" si="33"/>
        <v>0</v>
      </c>
      <c r="I188" s="435"/>
      <c r="J188" s="435">
        <f>IF(B188=37803.001,IF(VLOOKUP(C187,S167:AE193,13,TRUE)=2,C187,VLOOKUP(C187,S167:AA193,9,TRUE)),0)</f>
        <v>0</v>
      </c>
      <c r="K188" s="435">
        <f>IF(AND(B187=37803.001,J187=C186),VLOOKUP(VLOOKUP(C187,S167:V193,4,TRUE),S167:AA193,9,TRUE),0)</f>
        <v>0</v>
      </c>
      <c r="L188" s="435">
        <f>IF(B188&gt;37803.001,VLOOKUP(C187,T167:W198,4,TRUE),0)</f>
        <v>0</v>
      </c>
      <c r="M188" s="435">
        <f>IF(AND(B188=BG159,B159=1,C159=1),MAX(BH159,VLOOKUP(C187,T167:AD196,11,TRUE)),0)</f>
        <v>0</v>
      </c>
      <c r="N188" s="433">
        <f>IF(AND(B187=BG159,B159=1,C159=2,B188&gt;37803.001),VLOOKUP(C187,T167:AD196,11,TRUE),0)</f>
        <v>0</v>
      </c>
      <c r="O188" s="433"/>
      <c r="P188" s="433"/>
      <c r="Q188" s="433">
        <v>21</v>
      </c>
      <c r="R188" s="433">
        <v>3390</v>
      </c>
      <c r="S188" s="433">
        <v>6750</v>
      </c>
      <c r="T188" s="433">
        <v>9050</v>
      </c>
      <c r="U188" s="433">
        <v>3440</v>
      </c>
      <c r="V188" s="433">
        <v>6950</v>
      </c>
      <c r="W188" s="433">
        <v>9285</v>
      </c>
      <c r="X188" s="433">
        <v>6475.4</v>
      </c>
      <c r="Y188" s="433">
        <v>6550</v>
      </c>
      <c r="Z188" s="433">
        <v>9872.96</v>
      </c>
      <c r="AA188" s="433">
        <v>10030</v>
      </c>
      <c r="AB188" s="433">
        <v>3490</v>
      </c>
      <c r="AC188" s="433">
        <v>7150</v>
      </c>
      <c r="AD188" s="433">
        <v>9520</v>
      </c>
      <c r="AE188" s="433">
        <v>1</v>
      </c>
      <c r="AF188" s="433"/>
      <c r="AG188" s="433"/>
      <c r="AH188" s="433"/>
      <c r="AI188" s="433"/>
    </row>
    <row r="189" spans="1:35" ht="12.75">
      <c r="A189" s="433"/>
      <c r="B189" s="436">
        <f t="shared" si="30"/>
        <v>0</v>
      </c>
      <c r="C189" s="433">
        <f t="shared" si="31"/>
        <v>0</v>
      </c>
      <c r="D189" s="433" t="str">
        <f>IF(B189=35977.001,C188,IF(AND(B189=37803.001,VLOOKUP(C188,S167:AE196,13,TRUE)=1),C188,IF(AND(B188=37803.001,VLOOKUP(C187,S167:AE196,13,TRUE)=2),C188," ")))</f>
        <v> </v>
      </c>
      <c r="E189" s="435">
        <v>0</v>
      </c>
      <c r="F189" s="435">
        <v>0</v>
      </c>
      <c r="G189" s="435">
        <f t="shared" si="32"/>
        <v>0</v>
      </c>
      <c r="H189" s="435">
        <f t="shared" si="33"/>
        <v>0</v>
      </c>
      <c r="I189" s="435"/>
      <c r="J189" s="435">
        <f>IF(B189=37803.001,IF(VLOOKUP(C188,S167:AE193,13,TRUE)=2,C188,VLOOKUP(C188,S167:AA193,9,TRUE)),0)</f>
        <v>0</v>
      </c>
      <c r="K189" s="435">
        <f>IF(AND(B188=37803.001,J188=C187),VLOOKUP(VLOOKUP(C188,S167:V193,4,TRUE),S167:AA193,9,TRUE),0)</f>
        <v>0</v>
      </c>
      <c r="L189" s="435">
        <f>IF(B189&gt;37803.001,VLOOKUP(C188,T167:W198,4,TRUE),0)</f>
        <v>0</v>
      </c>
      <c r="M189" s="435">
        <f>IF(AND(B189=BG160,B160=1,C160=1),MAX(BH160,VLOOKUP(C188,T167:AD196,11,TRUE)),0)</f>
        <v>0</v>
      </c>
      <c r="N189" s="433">
        <f>IF(AND(B188=BG160,B160=1,C160=2,B189&gt;37803.001),VLOOKUP(C188,T167:AD196,11,TRUE),0)</f>
        <v>0</v>
      </c>
      <c r="O189" s="433"/>
      <c r="P189" s="433"/>
      <c r="Q189" s="433">
        <v>22</v>
      </c>
      <c r="R189" s="433">
        <v>3440</v>
      </c>
      <c r="S189" s="433">
        <v>6950</v>
      </c>
      <c r="T189" s="433">
        <v>9285</v>
      </c>
      <c r="U189" s="433">
        <v>3490</v>
      </c>
      <c r="V189" s="433">
        <v>7150</v>
      </c>
      <c r="W189" s="433">
        <v>9520</v>
      </c>
      <c r="X189" s="433">
        <v>6570.4</v>
      </c>
      <c r="Y189" s="433">
        <v>6750</v>
      </c>
      <c r="Z189" s="433">
        <v>10165.49</v>
      </c>
      <c r="AA189" s="433">
        <v>10285</v>
      </c>
      <c r="AB189" s="433">
        <v>3540</v>
      </c>
      <c r="AC189" s="433">
        <v>7400</v>
      </c>
      <c r="AD189" s="433">
        <v>9775</v>
      </c>
      <c r="AE189" s="433">
        <v>1</v>
      </c>
      <c r="AF189" s="433"/>
      <c r="AG189" s="433"/>
      <c r="AH189" s="433"/>
      <c r="AI189" s="433"/>
    </row>
    <row r="190" spans="1:35" ht="12.75">
      <c r="A190" s="433"/>
      <c r="B190" s="436">
        <f t="shared" si="30"/>
        <v>0</v>
      </c>
      <c r="C190" s="433">
        <f t="shared" si="31"/>
        <v>0</v>
      </c>
      <c r="D190" s="433" t="str">
        <f>IF(B190=35977.001,C189,IF(AND(B190=37803.001,VLOOKUP(C189,S167:AE196,13,TRUE)=1),C189,IF(AND(B189=37803.001,VLOOKUP(C188,S167:AE196,13,TRUE)=2),C189," ")))</f>
        <v> </v>
      </c>
      <c r="E190" s="435">
        <v>0</v>
      </c>
      <c r="F190" s="435">
        <v>0</v>
      </c>
      <c r="G190" s="435">
        <f t="shared" si="32"/>
        <v>0</v>
      </c>
      <c r="H190" s="435">
        <f t="shared" si="33"/>
        <v>0</v>
      </c>
      <c r="I190" s="435"/>
      <c r="J190" s="435">
        <f>IF(B190=37803.001,IF(VLOOKUP(C189,S167:AE193,13,TRUE)=2,C189,VLOOKUP(C189,S167:AA193,9,TRUE)),0)</f>
        <v>0</v>
      </c>
      <c r="K190" s="435">
        <f>IF(AND(B189=37803.001,J189=C188),VLOOKUP(VLOOKUP(C189,S167:V193,4,TRUE),S167:AA193,9,TRUE),0)</f>
        <v>0</v>
      </c>
      <c r="L190" s="435">
        <f>IF(B190&gt;37803.001,VLOOKUP(C189,T167:W198,4,TRUE),0)</f>
        <v>0</v>
      </c>
      <c r="M190" s="435">
        <f>IF(AND(B190=BG161,B161=1,C161=1),MAX(BH161,VLOOKUP(C189,T167:AD196,11,TRUE)),0)</f>
        <v>0</v>
      </c>
      <c r="N190" s="433">
        <f>IF(AND(B189=BG161,B161=1,C161=2,B190&gt;37803.001),VLOOKUP(C189,T167:AD196,11,TRUE),0)</f>
        <v>0</v>
      </c>
      <c r="O190" s="433"/>
      <c r="P190" s="433"/>
      <c r="Q190" s="433">
        <v>23</v>
      </c>
      <c r="R190" s="433">
        <v>3490</v>
      </c>
      <c r="S190" s="433">
        <v>7150</v>
      </c>
      <c r="T190" s="433">
        <v>9520</v>
      </c>
      <c r="U190" s="433">
        <v>3540</v>
      </c>
      <c r="V190" s="433">
        <v>7400</v>
      </c>
      <c r="W190" s="433">
        <v>9775</v>
      </c>
      <c r="X190" s="433">
        <v>6666.4</v>
      </c>
      <c r="Y190" s="433">
        <v>6750</v>
      </c>
      <c r="Z190" s="433">
        <v>10458.02</v>
      </c>
      <c r="AA190" s="433">
        <v>10565</v>
      </c>
      <c r="AB190" s="433">
        <v>3590</v>
      </c>
      <c r="AC190" s="433">
        <v>7650</v>
      </c>
      <c r="AD190" s="433">
        <v>10030</v>
      </c>
      <c r="AE190" s="433">
        <v>1</v>
      </c>
      <c r="AF190" s="433"/>
      <c r="AG190" s="433"/>
      <c r="AH190" s="433"/>
      <c r="AI190" s="433"/>
    </row>
    <row r="191" spans="1:35" ht="12.75">
      <c r="A191" s="433"/>
      <c r="B191" s="433"/>
      <c r="C191" s="433"/>
      <c r="D191" s="433"/>
      <c r="E191" s="435"/>
      <c r="F191" s="435"/>
      <c r="G191" s="435"/>
      <c r="H191" s="435"/>
      <c r="I191" s="435"/>
      <c r="J191" s="435"/>
      <c r="K191" s="435"/>
      <c r="L191" s="435"/>
      <c r="M191" s="435"/>
      <c r="N191" s="433"/>
      <c r="O191" s="433"/>
      <c r="P191" s="433"/>
      <c r="Q191" s="433">
        <v>24</v>
      </c>
      <c r="R191" s="433">
        <v>3540</v>
      </c>
      <c r="S191" s="433">
        <v>7400</v>
      </c>
      <c r="T191" s="433">
        <v>9775</v>
      </c>
      <c r="U191" s="433">
        <v>3590</v>
      </c>
      <c r="V191" s="433">
        <v>7650</v>
      </c>
      <c r="W191" s="433">
        <v>10030</v>
      </c>
      <c r="X191" s="433">
        <v>6761.4</v>
      </c>
      <c r="Y191" s="433">
        <v>6950</v>
      </c>
      <c r="Z191" s="433">
        <v>10823.68</v>
      </c>
      <c r="AA191" s="433">
        <v>10845</v>
      </c>
      <c r="AB191" s="433">
        <v>3640</v>
      </c>
      <c r="AC191" s="433">
        <v>7900</v>
      </c>
      <c r="AD191" s="433">
        <v>10285</v>
      </c>
      <c r="AE191" s="433">
        <v>2</v>
      </c>
      <c r="AF191" s="433"/>
      <c r="AG191" s="433"/>
      <c r="AH191" s="433"/>
      <c r="AI191" s="433"/>
    </row>
    <row r="192" spans="1:35" ht="12.75">
      <c r="A192" s="433"/>
      <c r="B192" s="433"/>
      <c r="C192" s="433"/>
      <c r="D192" s="433"/>
      <c r="E192" s="433"/>
      <c r="F192" s="433"/>
      <c r="G192" s="433"/>
      <c r="H192" s="433"/>
      <c r="I192" s="433"/>
      <c r="J192" s="433"/>
      <c r="K192" s="433"/>
      <c r="L192" s="433"/>
      <c r="M192" s="433"/>
      <c r="N192" s="433"/>
      <c r="O192" s="433"/>
      <c r="P192" s="433"/>
      <c r="Q192" s="433">
        <v>25</v>
      </c>
      <c r="R192" s="433">
        <v>3590</v>
      </c>
      <c r="S192" s="433">
        <v>7650</v>
      </c>
      <c r="T192" s="433">
        <v>10030</v>
      </c>
      <c r="U192" s="433">
        <v>3640</v>
      </c>
      <c r="V192" s="433">
        <v>7900</v>
      </c>
      <c r="W192" s="433">
        <v>10285</v>
      </c>
      <c r="X192" s="433">
        <v>6857.4</v>
      </c>
      <c r="Y192" s="433">
        <v>6950</v>
      </c>
      <c r="Z192" s="433">
        <v>11189.35</v>
      </c>
      <c r="AA192" s="433">
        <v>11440</v>
      </c>
      <c r="AB192" s="433">
        <v>3690</v>
      </c>
      <c r="AC192" s="433">
        <v>8150</v>
      </c>
      <c r="AD192" s="433">
        <v>10565</v>
      </c>
      <c r="AE192" s="433">
        <v>1</v>
      </c>
      <c r="AF192" s="433"/>
      <c r="AG192" s="433"/>
      <c r="AH192" s="433"/>
      <c r="AI192" s="433"/>
    </row>
    <row r="193" spans="1:35" ht="12.75">
      <c r="A193" s="433"/>
      <c r="B193" s="433"/>
      <c r="C193" s="433"/>
      <c r="D193" s="433"/>
      <c r="E193" s="433"/>
      <c r="F193" s="433"/>
      <c r="G193" s="433"/>
      <c r="H193" s="433"/>
      <c r="I193" s="433"/>
      <c r="J193" s="433"/>
      <c r="K193" s="433"/>
      <c r="L193" s="433"/>
      <c r="M193" s="433"/>
      <c r="N193" s="433"/>
      <c r="O193" s="433"/>
      <c r="P193" s="433"/>
      <c r="Q193" s="433">
        <v>26</v>
      </c>
      <c r="R193" s="433">
        <v>3640</v>
      </c>
      <c r="S193" s="433">
        <v>7900</v>
      </c>
      <c r="T193" s="433">
        <v>10285</v>
      </c>
      <c r="U193" s="433">
        <v>3690</v>
      </c>
      <c r="V193" s="433">
        <v>8150</v>
      </c>
      <c r="W193" s="433">
        <v>10565</v>
      </c>
      <c r="X193" s="433">
        <v>6952.4</v>
      </c>
      <c r="Y193" s="433">
        <v>7150</v>
      </c>
      <c r="Z193" s="433">
        <v>11555.01</v>
      </c>
      <c r="AA193" s="433">
        <v>11755</v>
      </c>
      <c r="AB193" s="433">
        <v>3740</v>
      </c>
      <c r="AC193" s="433">
        <v>8400</v>
      </c>
      <c r="AD193" s="433">
        <v>10845</v>
      </c>
      <c r="AE193" s="433">
        <v>1</v>
      </c>
      <c r="AF193" s="433"/>
      <c r="AG193" s="433"/>
      <c r="AH193" s="433"/>
      <c r="AI193" s="433"/>
    </row>
    <row r="194" spans="1:35" ht="20.25">
      <c r="A194" s="435"/>
      <c r="B194" s="435"/>
      <c r="C194" s="435"/>
      <c r="D194" s="435"/>
      <c r="E194" s="450"/>
      <c r="F194" s="435"/>
      <c r="G194" s="435"/>
      <c r="H194" s="435"/>
      <c r="I194" s="435"/>
      <c r="J194" s="435"/>
      <c r="K194" s="435"/>
      <c r="L194" s="435"/>
      <c r="M194" s="435"/>
      <c r="N194" s="435"/>
      <c r="O194" s="435"/>
      <c r="P194" s="435"/>
      <c r="Q194" s="435"/>
      <c r="R194" s="435"/>
      <c r="S194" s="435"/>
      <c r="T194" s="433">
        <v>10565</v>
      </c>
      <c r="U194" s="435"/>
      <c r="V194" s="435"/>
      <c r="W194" s="433">
        <v>10845</v>
      </c>
      <c r="X194" s="435"/>
      <c r="Y194" s="435"/>
      <c r="Z194" s="435"/>
      <c r="AA194" s="435"/>
      <c r="AB194" s="435"/>
      <c r="AC194" s="435"/>
      <c r="AD194" s="435">
        <v>11125</v>
      </c>
      <c r="AE194" s="435"/>
      <c r="AF194" s="435"/>
      <c r="AG194" s="435"/>
      <c r="AH194" s="435"/>
      <c r="AI194" s="435"/>
    </row>
    <row r="195" spans="1:35" ht="12.75">
      <c r="A195" s="435"/>
      <c r="B195" s="435"/>
      <c r="C195" s="438"/>
      <c r="D195" s="438"/>
      <c r="E195" s="438"/>
      <c r="F195" s="438"/>
      <c r="G195" s="438"/>
      <c r="H195" s="438"/>
      <c r="I195" s="438"/>
      <c r="J195" s="438"/>
      <c r="K195" s="438"/>
      <c r="L195" s="438"/>
      <c r="M195" s="438"/>
      <c r="N195" s="438"/>
      <c r="O195" s="438"/>
      <c r="P195" s="438"/>
      <c r="Q195" s="438"/>
      <c r="R195" s="438"/>
      <c r="S195" s="438"/>
      <c r="T195" s="433">
        <v>10845</v>
      </c>
      <c r="U195" s="438"/>
      <c r="V195" s="438"/>
      <c r="W195" s="433">
        <v>11125</v>
      </c>
      <c r="X195" s="438"/>
      <c r="Y195" s="438"/>
      <c r="Z195" s="438"/>
      <c r="AA195" s="435"/>
      <c r="AB195" s="435"/>
      <c r="AC195" s="435"/>
      <c r="AD195" s="433">
        <v>11440</v>
      </c>
      <c r="AE195" s="435"/>
      <c r="AF195" s="435"/>
      <c r="AG195" s="435"/>
      <c r="AH195" s="435"/>
      <c r="AI195" s="435"/>
    </row>
    <row r="196" spans="1:35" ht="12.75">
      <c r="A196" s="435"/>
      <c r="B196" s="435"/>
      <c r="C196" s="435"/>
      <c r="D196" s="435"/>
      <c r="E196" s="435"/>
      <c r="F196" s="435"/>
      <c r="G196" s="435"/>
      <c r="H196" s="435"/>
      <c r="I196" s="435"/>
      <c r="J196" s="435"/>
      <c r="K196" s="435"/>
      <c r="L196" s="435"/>
      <c r="M196" s="435"/>
      <c r="N196" s="435"/>
      <c r="O196" s="435"/>
      <c r="P196" s="435"/>
      <c r="Q196" s="435"/>
      <c r="R196" s="435"/>
      <c r="S196" s="435"/>
      <c r="T196" s="433">
        <v>11125</v>
      </c>
      <c r="U196" s="435"/>
      <c r="V196" s="435"/>
      <c r="W196" s="433">
        <v>11440</v>
      </c>
      <c r="X196" s="435"/>
      <c r="Y196" s="435"/>
      <c r="Z196" s="435"/>
      <c r="AA196" s="435"/>
      <c r="AB196" s="435"/>
      <c r="AC196" s="435"/>
      <c r="AD196" s="433">
        <v>11755</v>
      </c>
      <c r="AE196" s="435"/>
      <c r="AF196" s="435"/>
      <c r="AG196" s="435"/>
      <c r="AH196" s="435"/>
      <c r="AI196" s="435"/>
    </row>
    <row r="197" spans="1:35" ht="12.75">
      <c r="A197" s="2"/>
      <c r="B197" s="2"/>
      <c r="C197" s="2"/>
      <c r="D197" s="430"/>
      <c r="E197" s="451"/>
      <c r="F197" s="451"/>
      <c r="G197" s="451"/>
      <c r="H197" s="451"/>
      <c r="I197" s="451"/>
      <c r="J197" s="451"/>
      <c r="K197" s="451"/>
      <c r="L197" s="451"/>
      <c r="M197" s="451"/>
      <c r="N197" s="451"/>
      <c r="O197" s="451"/>
      <c r="P197" s="451"/>
      <c r="Q197" s="451"/>
      <c r="R197" s="451"/>
      <c r="S197" s="451"/>
      <c r="T197" s="435">
        <v>11440</v>
      </c>
      <c r="U197" s="438"/>
      <c r="V197" s="438"/>
      <c r="W197" s="435">
        <v>11755</v>
      </c>
      <c r="X197" s="438"/>
      <c r="Y197" s="438"/>
      <c r="Z197" s="438"/>
      <c r="AA197" s="435"/>
      <c r="AB197" s="435"/>
      <c r="AC197" s="435"/>
      <c r="AD197" s="435">
        <v>12070</v>
      </c>
      <c r="AE197" s="430"/>
      <c r="AF197" s="430"/>
      <c r="AG197" s="430"/>
      <c r="AH197" s="430"/>
      <c r="AI197" s="451"/>
    </row>
    <row r="198" spans="1:35" ht="12.75">
      <c r="A198" s="2"/>
      <c r="B198" s="2"/>
      <c r="C198" s="2"/>
      <c r="D198" s="430"/>
      <c r="E198" s="451"/>
      <c r="F198" s="451"/>
      <c r="G198" s="451"/>
      <c r="H198" s="451"/>
      <c r="I198" s="451"/>
      <c r="J198" s="451"/>
      <c r="K198" s="451"/>
      <c r="L198" s="451"/>
      <c r="M198" s="451"/>
      <c r="N198" s="451"/>
      <c r="O198" s="451"/>
      <c r="P198" s="451"/>
      <c r="Q198" s="451"/>
      <c r="R198" s="451"/>
      <c r="S198" s="451"/>
      <c r="T198" s="435">
        <v>11755</v>
      </c>
      <c r="U198" s="440"/>
      <c r="V198" s="440"/>
      <c r="W198" s="435">
        <v>12070</v>
      </c>
      <c r="X198" s="440"/>
      <c r="Y198" s="440"/>
      <c r="Z198" s="440"/>
      <c r="AA198" s="435"/>
      <c r="AB198" s="435"/>
      <c r="AC198" s="435"/>
      <c r="AD198" s="435">
        <v>12385</v>
      </c>
      <c r="AE198" s="430"/>
      <c r="AF198" s="430"/>
      <c r="AG198" s="430"/>
      <c r="AH198" s="430"/>
      <c r="AI198" s="451"/>
    </row>
    <row r="199" spans="1:35" ht="12.75">
      <c r="A199" s="2"/>
      <c r="B199" s="2"/>
      <c r="C199" s="2"/>
      <c r="D199" s="430"/>
      <c r="E199" s="451"/>
      <c r="F199" s="451"/>
      <c r="G199" s="451"/>
      <c r="H199" s="451"/>
      <c r="I199" s="451"/>
      <c r="J199" s="451"/>
      <c r="K199" s="451"/>
      <c r="L199" s="451"/>
      <c r="M199" s="451"/>
      <c r="N199" s="451"/>
      <c r="O199" s="451"/>
      <c r="P199" s="451"/>
      <c r="Q199" s="451"/>
      <c r="R199" s="451"/>
      <c r="S199" s="451"/>
      <c r="T199" s="451"/>
      <c r="U199" s="451"/>
      <c r="V199" s="451"/>
      <c r="W199" s="451"/>
      <c r="X199" s="451"/>
      <c r="Y199" s="451"/>
      <c r="Z199" s="451"/>
      <c r="AA199" s="451"/>
      <c r="AB199" s="2"/>
      <c r="AC199" s="2"/>
      <c r="AD199" s="430"/>
      <c r="AE199" s="430"/>
      <c r="AF199" s="430"/>
      <c r="AG199" s="430"/>
      <c r="AH199" s="430"/>
      <c r="AI199" s="451"/>
    </row>
    <row r="200" spans="1:35" ht="12.75">
      <c r="A200" s="2" t="s">
        <v>496</v>
      </c>
      <c r="B200" s="2"/>
      <c r="C200" s="2"/>
      <c r="D200" s="430"/>
      <c r="E200" s="451"/>
      <c r="F200" s="451"/>
      <c r="G200" s="451"/>
      <c r="H200" s="451"/>
      <c r="I200" s="451"/>
      <c r="J200" s="451"/>
      <c r="K200" s="451"/>
      <c r="L200" s="451"/>
      <c r="M200" s="451"/>
      <c r="N200" s="451"/>
      <c r="O200" s="451"/>
      <c r="P200" s="451"/>
      <c r="Q200" s="451"/>
      <c r="R200" s="451"/>
      <c r="S200" s="451"/>
      <c r="T200" s="451"/>
      <c r="U200" s="451"/>
      <c r="V200" s="451"/>
      <c r="W200" s="451"/>
      <c r="X200" s="451"/>
      <c r="Y200" s="451"/>
      <c r="Z200" s="451"/>
      <c r="AA200" s="451"/>
      <c r="AB200" s="2"/>
      <c r="AC200" s="2"/>
      <c r="AD200" s="430"/>
      <c r="AE200" s="430"/>
      <c r="AF200" s="430"/>
      <c r="AG200" s="430"/>
      <c r="AH200" s="430"/>
      <c r="AI200" s="451"/>
    </row>
    <row r="201" spans="1:35" ht="20.25">
      <c r="A201" s="452" t="s">
        <v>459</v>
      </c>
      <c r="B201" s="452">
        <f>B129</f>
        <v>1</v>
      </c>
      <c r="C201" s="452" t="s">
        <v>460</v>
      </c>
      <c r="D201" s="452"/>
      <c r="E201" s="453">
        <v>3</v>
      </c>
      <c r="F201" s="452"/>
      <c r="G201" s="452"/>
      <c r="H201" s="452"/>
      <c r="I201" s="452"/>
      <c r="J201" s="452"/>
      <c r="K201" s="452"/>
      <c r="L201" s="452"/>
      <c r="M201" s="452"/>
      <c r="N201" s="452"/>
      <c r="O201" s="452"/>
      <c r="P201" s="452"/>
      <c r="Q201" s="452"/>
      <c r="R201" s="452"/>
      <c r="S201" s="452"/>
      <c r="T201" s="452"/>
      <c r="U201" s="452"/>
      <c r="V201" s="452"/>
      <c r="W201" s="452"/>
      <c r="X201" s="452"/>
      <c r="Y201" s="452"/>
      <c r="Z201" s="452"/>
      <c r="AA201" s="452"/>
      <c r="AB201" s="452"/>
      <c r="AC201" s="452"/>
      <c r="AD201" s="452"/>
      <c r="AE201" s="452"/>
      <c r="AF201" s="452"/>
      <c r="AG201" s="452"/>
      <c r="AH201" s="452"/>
      <c r="AI201" s="452"/>
    </row>
    <row r="202" spans="1:35" ht="12.75">
      <c r="A202" s="452" t="s">
        <v>461</v>
      </c>
      <c r="B202" s="454">
        <f aca="true" t="shared" si="34" ref="B202:B208">B130</f>
        <v>37288.01</v>
      </c>
      <c r="C202" s="455"/>
      <c r="D202" s="455">
        <f>DATE(YEAR(B202)+2,MONTH(B202),DAY(B202))</f>
        <v>38018</v>
      </c>
      <c r="E202" s="455"/>
      <c r="F202" s="455"/>
      <c r="G202" s="455"/>
      <c r="H202" s="455"/>
      <c r="I202" s="455"/>
      <c r="J202" s="455"/>
      <c r="K202" s="455"/>
      <c r="L202" s="455"/>
      <c r="M202" s="455"/>
      <c r="N202" s="455"/>
      <c r="O202" s="455"/>
      <c r="P202" s="455"/>
      <c r="Q202" s="455"/>
      <c r="R202" s="455"/>
      <c r="S202" s="455"/>
      <c r="T202" s="455"/>
      <c r="U202" s="455"/>
      <c r="V202" s="455"/>
      <c r="W202" s="455"/>
      <c r="X202" s="455"/>
      <c r="Y202" s="455"/>
      <c r="Z202" s="455"/>
      <c r="AA202" s="452"/>
      <c r="AB202" s="452"/>
      <c r="AC202" s="452"/>
      <c r="AD202" s="452"/>
      <c r="AE202" s="452"/>
      <c r="AF202" s="452"/>
      <c r="AG202" s="452"/>
      <c r="AH202" s="452"/>
      <c r="AI202" s="452"/>
    </row>
    <row r="203" spans="1:35" ht="12.75">
      <c r="A203" s="452" t="s">
        <v>462</v>
      </c>
      <c r="B203" s="452">
        <f t="shared" si="34"/>
        <v>2</v>
      </c>
      <c r="C203" s="452" t="s">
        <v>463</v>
      </c>
      <c r="D203" s="452"/>
      <c r="E203" s="452"/>
      <c r="F203" s="452"/>
      <c r="G203" s="452"/>
      <c r="H203" s="452"/>
      <c r="I203" s="452"/>
      <c r="J203" s="452"/>
      <c r="K203" s="452"/>
      <c r="L203" s="452"/>
      <c r="M203" s="452"/>
      <c r="N203" s="452"/>
      <c r="O203" s="452"/>
      <c r="P203" s="452"/>
      <c r="Q203" s="452"/>
      <c r="R203" s="452"/>
      <c r="S203" s="452"/>
      <c r="T203" s="452"/>
      <c r="U203" s="452"/>
      <c r="V203" s="452"/>
      <c r="W203" s="452"/>
      <c r="X203" s="452"/>
      <c r="Y203" s="452"/>
      <c r="Z203" s="452"/>
      <c r="AA203" s="452"/>
      <c r="AB203" s="452"/>
      <c r="AC203" s="452"/>
      <c r="AD203" s="452"/>
      <c r="AE203" s="452"/>
      <c r="AF203" s="452"/>
      <c r="AG203" s="452"/>
      <c r="AH203" s="452"/>
      <c r="AI203" s="452"/>
    </row>
    <row r="204" spans="1:35" ht="12.75">
      <c r="A204" s="452" t="s">
        <v>464</v>
      </c>
      <c r="B204" s="454">
        <f>B132</f>
        <v>39846.01</v>
      </c>
      <c r="C204" s="455"/>
      <c r="D204" s="455"/>
      <c r="E204" s="452"/>
      <c r="F204" s="455"/>
      <c r="G204" s="455"/>
      <c r="H204" s="455"/>
      <c r="I204" s="455"/>
      <c r="J204" s="455"/>
      <c r="K204" s="455"/>
      <c r="L204" s="455"/>
      <c r="M204" s="455"/>
      <c r="N204" s="455"/>
      <c r="O204" s="455"/>
      <c r="P204" s="455"/>
      <c r="Q204" s="455"/>
      <c r="R204" s="455"/>
      <c r="S204" s="455"/>
      <c r="T204" s="455"/>
      <c r="U204" s="455"/>
      <c r="V204" s="455"/>
      <c r="W204" s="455"/>
      <c r="X204" s="455"/>
      <c r="Y204" s="455"/>
      <c r="Z204" s="455"/>
      <c r="AA204" s="452"/>
      <c r="AB204" s="452"/>
      <c r="AC204" s="452"/>
      <c r="AD204" s="452"/>
      <c r="AE204" s="452"/>
      <c r="AF204" s="452"/>
      <c r="AG204" s="452"/>
      <c r="AH204" s="452"/>
      <c r="AI204" s="452"/>
    </row>
    <row r="205" spans="1:35" ht="12.75">
      <c r="A205" s="452" t="s">
        <v>465</v>
      </c>
      <c r="B205" s="452">
        <v>2</v>
      </c>
      <c r="C205" s="456" t="s">
        <v>466</v>
      </c>
      <c r="D205" s="456"/>
      <c r="E205" s="456"/>
      <c r="F205" s="456"/>
      <c r="G205" s="456"/>
      <c r="H205" s="456"/>
      <c r="I205" s="456"/>
      <c r="J205" s="456"/>
      <c r="K205" s="456"/>
      <c r="L205" s="456"/>
      <c r="M205" s="456"/>
      <c r="N205" s="456"/>
      <c r="O205" s="456"/>
      <c r="P205" s="456"/>
      <c r="Q205" s="456"/>
      <c r="R205" s="456"/>
      <c r="S205" s="456"/>
      <c r="T205" s="456"/>
      <c r="U205" s="456"/>
      <c r="V205" s="456"/>
      <c r="W205" s="456"/>
      <c r="X205" s="456"/>
      <c r="Y205" s="456"/>
      <c r="Z205" s="456"/>
      <c r="AA205" s="452"/>
      <c r="AB205" s="452"/>
      <c r="AC205" s="452"/>
      <c r="AD205" s="452"/>
      <c r="AE205" s="452"/>
      <c r="AF205" s="452"/>
      <c r="AG205" s="452"/>
      <c r="AH205" s="452"/>
      <c r="AI205" s="452"/>
    </row>
    <row r="206" spans="1:35" ht="12.75">
      <c r="A206" s="452" t="s">
        <v>467</v>
      </c>
      <c r="B206" s="454">
        <f t="shared" si="34"/>
        <v>40390</v>
      </c>
      <c r="C206" s="455"/>
      <c r="D206" s="455"/>
      <c r="E206" s="455"/>
      <c r="F206" s="455"/>
      <c r="G206" s="455"/>
      <c r="H206" s="455"/>
      <c r="I206" s="455"/>
      <c r="J206" s="455"/>
      <c r="K206" s="455"/>
      <c r="L206" s="455"/>
      <c r="M206" s="455"/>
      <c r="N206" s="455"/>
      <c r="O206" s="455"/>
      <c r="P206" s="455"/>
      <c r="Q206" s="455"/>
      <c r="R206" s="455"/>
      <c r="S206" s="455"/>
      <c r="T206" s="455"/>
      <c r="U206" s="455"/>
      <c r="V206" s="455"/>
      <c r="W206" s="455"/>
      <c r="X206" s="455"/>
      <c r="Y206" s="455"/>
      <c r="Z206" s="455"/>
      <c r="AA206" s="452"/>
      <c r="AB206" s="452"/>
      <c r="AC206" s="452"/>
      <c r="AD206" s="452"/>
      <c r="AE206" s="452"/>
      <c r="AF206" s="452"/>
      <c r="AG206" s="452"/>
      <c r="AH206" s="452"/>
      <c r="AI206" s="452"/>
    </row>
    <row r="207" spans="1:35" ht="12.75">
      <c r="A207" s="452" t="s">
        <v>468</v>
      </c>
      <c r="B207" s="454">
        <f t="shared" si="34"/>
        <v>35977</v>
      </c>
      <c r="C207" s="455"/>
      <c r="D207" s="455"/>
      <c r="E207" s="455"/>
      <c r="F207" s="455"/>
      <c r="G207" s="455"/>
      <c r="H207" s="455"/>
      <c r="I207" s="455"/>
      <c r="J207" s="455"/>
      <c r="K207" s="455"/>
      <c r="L207" s="455"/>
      <c r="M207" s="455"/>
      <c r="N207" s="455"/>
      <c r="O207" s="455"/>
      <c r="P207" s="455"/>
      <c r="Q207" s="455"/>
      <c r="R207" s="455"/>
      <c r="S207" s="455"/>
      <c r="T207" s="455"/>
      <c r="U207" s="455"/>
      <c r="V207" s="455"/>
      <c r="W207" s="455"/>
      <c r="X207" s="455"/>
      <c r="Y207" s="455"/>
      <c r="Z207" s="455"/>
      <c r="AA207" s="452"/>
      <c r="AB207" s="452"/>
      <c r="AC207" s="452"/>
      <c r="AD207" s="452"/>
      <c r="AE207" s="452"/>
      <c r="AF207" s="452"/>
      <c r="AG207" s="452"/>
      <c r="AH207" s="452"/>
      <c r="AI207" s="452"/>
    </row>
    <row r="208" spans="1:35" ht="12.75">
      <c r="A208" s="452" t="s">
        <v>469</v>
      </c>
      <c r="B208" s="454">
        <f t="shared" si="34"/>
        <v>37803</v>
      </c>
      <c r="C208" s="452"/>
      <c r="D208" s="452"/>
      <c r="E208" s="452"/>
      <c r="F208" s="452"/>
      <c r="G208" s="452"/>
      <c r="H208" s="452"/>
      <c r="I208" s="452"/>
      <c r="J208" s="452"/>
      <c r="K208" s="452"/>
      <c r="L208" s="452"/>
      <c r="M208" s="452"/>
      <c r="N208" s="452"/>
      <c r="O208" s="452"/>
      <c r="P208" s="452"/>
      <c r="Q208" s="452"/>
      <c r="R208" s="452"/>
      <c r="S208" s="452"/>
      <c r="T208" s="452"/>
      <c r="U208" s="452"/>
      <c r="V208" s="452"/>
      <c r="W208" s="452"/>
      <c r="X208" s="452"/>
      <c r="Y208" s="452"/>
      <c r="Z208" s="452"/>
      <c r="AA208" s="452"/>
      <c r="AB208" s="452"/>
      <c r="AC208" s="452"/>
      <c r="AD208" s="452"/>
      <c r="AE208" s="452"/>
      <c r="AF208" s="452"/>
      <c r="AG208" s="452"/>
      <c r="AH208" s="452"/>
      <c r="AI208" s="452"/>
    </row>
    <row r="209" spans="1:35"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row>
    <row r="210" spans="1:35" ht="12.75">
      <c r="A210" s="452" t="s">
        <v>470</v>
      </c>
      <c r="B210" s="452"/>
      <c r="C210" s="452"/>
      <c r="D210" s="452"/>
      <c r="E210" s="452"/>
      <c r="F210" s="452"/>
      <c r="G210" s="452"/>
      <c r="H210" s="452"/>
      <c r="I210" s="452"/>
      <c r="J210" s="452"/>
      <c r="K210" s="452"/>
      <c r="L210" s="452"/>
      <c r="M210" s="452"/>
      <c r="N210" s="452"/>
      <c r="O210" s="452"/>
      <c r="P210" s="452"/>
      <c r="Q210" s="452"/>
      <c r="R210" s="452"/>
      <c r="S210" s="452"/>
      <c r="T210" s="452"/>
      <c r="U210" s="452"/>
      <c r="V210" s="452"/>
      <c r="W210" s="452"/>
      <c r="X210" s="452"/>
      <c r="Y210" s="452"/>
      <c r="Z210" s="452"/>
      <c r="AA210" s="452"/>
      <c r="AB210" s="452"/>
      <c r="AC210" s="452"/>
      <c r="AD210" s="452"/>
      <c r="AE210" s="452"/>
      <c r="AF210" s="452"/>
      <c r="AG210" s="452"/>
      <c r="AH210" s="452"/>
      <c r="AI210" s="452"/>
    </row>
    <row r="211" spans="1:35" ht="12.75">
      <c r="A211" s="452"/>
      <c r="B211" s="452"/>
      <c r="C211" s="452"/>
      <c r="D211" s="452"/>
      <c r="E211" s="452"/>
      <c r="F211" s="452">
        <v>1</v>
      </c>
      <c r="G211" s="452">
        <v>2</v>
      </c>
      <c r="H211" s="452">
        <v>3</v>
      </c>
      <c r="I211" s="452">
        <v>4</v>
      </c>
      <c r="J211" s="452">
        <v>5</v>
      </c>
      <c r="K211" s="452">
        <v>6</v>
      </c>
      <c r="L211" s="452">
        <v>7</v>
      </c>
      <c r="M211" s="452">
        <v>8</v>
      </c>
      <c r="N211" s="452">
        <v>9</v>
      </c>
      <c r="O211" s="452">
        <v>10</v>
      </c>
      <c r="P211" s="452">
        <v>11</v>
      </c>
      <c r="Q211" s="452">
        <v>12</v>
      </c>
      <c r="R211" s="452">
        <v>13</v>
      </c>
      <c r="S211" s="452">
        <v>14</v>
      </c>
      <c r="T211" s="452">
        <v>15</v>
      </c>
      <c r="U211" s="452">
        <v>16</v>
      </c>
      <c r="V211" s="452">
        <v>17</v>
      </c>
      <c r="W211" s="452">
        <v>18</v>
      </c>
      <c r="X211" s="452">
        <v>19</v>
      </c>
      <c r="Y211" s="452">
        <v>20</v>
      </c>
      <c r="Z211" s="452">
        <v>21</v>
      </c>
      <c r="AA211" s="452">
        <v>22</v>
      </c>
      <c r="AB211" s="452"/>
      <c r="AC211" s="452"/>
      <c r="AD211" s="452"/>
      <c r="AE211" s="452"/>
      <c r="AF211" s="452"/>
      <c r="AG211" s="452"/>
      <c r="AH211" s="452"/>
      <c r="AI211" s="452"/>
    </row>
    <row r="212" spans="1:35" ht="12.75">
      <c r="A212" s="452"/>
      <c r="B212" s="452">
        <f>B203</f>
        <v>2</v>
      </c>
      <c r="C212" s="452">
        <f>B205</f>
        <v>2</v>
      </c>
      <c r="D212" s="456">
        <f>IF(B203=1,B204,D202)</f>
        <v>38018</v>
      </c>
      <c r="E212" s="457">
        <f>F212</f>
        <v>0</v>
      </c>
      <c r="F212" s="458">
        <f aca="true" t="shared" si="35" ref="F212:AA212">MIN(AJ212:AJ233)</f>
        <v>0</v>
      </c>
      <c r="G212" s="458">
        <f t="shared" si="35"/>
        <v>0</v>
      </c>
      <c r="H212" s="458">
        <f t="shared" si="35"/>
        <v>0</v>
      </c>
      <c r="I212" s="458">
        <f t="shared" si="35"/>
        <v>0</v>
      </c>
      <c r="J212" s="458">
        <f t="shared" si="35"/>
        <v>0</v>
      </c>
      <c r="K212" s="458">
        <f t="shared" si="35"/>
        <v>0</v>
      </c>
      <c r="L212" s="458">
        <f t="shared" si="35"/>
        <v>0</v>
      </c>
      <c r="M212" s="458">
        <f t="shared" si="35"/>
        <v>0</v>
      </c>
      <c r="N212" s="458">
        <f t="shared" si="35"/>
        <v>0</v>
      </c>
      <c r="O212" s="458">
        <f t="shared" si="35"/>
        <v>0</v>
      </c>
      <c r="P212" s="458">
        <f t="shared" si="35"/>
        <v>0</v>
      </c>
      <c r="Q212" s="458">
        <f t="shared" si="35"/>
        <v>0</v>
      </c>
      <c r="R212" s="458">
        <f t="shared" si="35"/>
        <v>0</v>
      </c>
      <c r="S212" s="458">
        <f t="shared" si="35"/>
        <v>0</v>
      </c>
      <c r="T212" s="458">
        <f t="shared" si="35"/>
        <v>0</v>
      </c>
      <c r="U212" s="458">
        <f t="shared" si="35"/>
        <v>0</v>
      </c>
      <c r="V212" s="458">
        <f t="shared" si="35"/>
        <v>0</v>
      </c>
      <c r="W212" s="458">
        <f t="shared" si="35"/>
        <v>0</v>
      </c>
      <c r="X212" s="458">
        <f t="shared" si="35"/>
        <v>0</v>
      </c>
      <c r="Y212" s="458">
        <f t="shared" si="35"/>
        <v>0</v>
      </c>
      <c r="Z212" s="458">
        <f t="shared" si="35"/>
        <v>0</v>
      </c>
      <c r="AA212" s="458">
        <f t="shared" si="35"/>
        <v>0</v>
      </c>
      <c r="AB212" s="459"/>
      <c r="AC212" s="459"/>
      <c r="AD212" s="460">
        <f>B206+1</f>
        <v>40391</v>
      </c>
      <c r="AE212" s="460">
        <f>AF212</f>
        <v>38018</v>
      </c>
      <c r="AF212" s="460">
        <f>DATE(YEAR(B202)+2,MONTH(B202),DAY(B202))</f>
        <v>38018</v>
      </c>
      <c r="AG212" s="460">
        <f>AF212</f>
        <v>38018</v>
      </c>
      <c r="AH212" s="460">
        <f>IF(AND(YEAR(AG212)=YEAR(D212),C212=1,MONTH(D212)&lt;MONTH(AG212)),D212,AG212)</f>
        <v>38018</v>
      </c>
      <c r="AI212" s="458">
        <f>IF(AH212&lt;AE212,AE212,AH212)</f>
        <v>38018</v>
      </c>
    </row>
    <row r="213" spans="1:35" ht="12.75">
      <c r="A213" s="452"/>
      <c r="B213" s="452">
        <f>B212</f>
        <v>2</v>
      </c>
      <c r="C213" s="452">
        <f>C212</f>
        <v>2</v>
      </c>
      <c r="D213" s="456">
        <f>D212</f>
        <v>38018</v>
      </c>
      <c r="E213" s="457">
        <f>G213</f>
        <v>0</v>
      </c>
      <c r="F213" s="458">
        <f aca="true" t="shared" si="36" ref="F213:AA224">F212</f>
        <v>0</v>
      </c>
      <c r="G213" s="458">
        <f t="shared" si="36"/>
        <v>0</v>
      </c>
      <c r="H213" s="458">
        <f t="shared" si="36"/>
        <v>0</v>
      </c>
      <c r="I213" s="458">
        <f t="shared" si="36"/>
        <v>0</v>
      </c>
      <c r="J213" s="458">
        <f t="shared" si="36"/>
        <v>0</v>
      </c>
      <c r="K213" s="458">
        <f t="shared" si="36"/>
        <v>0</v>
      </c>
      <c r="L213" s="458">
        <f t="shared" si="36"/>
        <v>0</v>
      </c>
      <c r="M213" s="458">
        <f t="shared" si="36"/>
        <v>0</v>
      </c>
      <c r="N213" s="458">
        <f t="shared" si="36"/>
        <v>0</v>
      </c>
      <c r="O213" s="458">
        <f t="shared" si="36"/>
        <v>0</v>
      </c>
      <c r="P213" s="458">
        <f t="shared" si="36"/>
        <v>0</v>
      </c>
      <c r="Q213" s="458">
        <f t="shared" si="36"/>
        <v>0</v>
      </c>
      <c r="R213" s="458">
        <f t="shared" si="36"/>
        <v>0</v>
      </c>
      <c r="S213" s="458">
        <f t="shared" si="36"/>
        <v>0</v>
      </c>
      <c r="T213" s="458">
        <f t="shared" si="36"/>
        <v>0</v>
      </c>
      <c r="U213" s="458">
        <f t="shared" si="36"/>
        <v>0</v>
      </c>
      <c r="V213" s="458">
        <f t="shared" si="36"/>
        <v>0</v>
      </c>
      <c r="W213" s="458">
        <f t="shared" si="36"/>
        <v>0</v>
      </c>
      <c r="X213" s="458">
        <f t="shared" si="36"/>
        <v>0</v>
      </c>
      <c r="Y213" s="458">
        <f t="shared" si="36"/>
        <v>0</v>
      </c>
      <c r="Z213" s="458">
        <f t="shared" si="36"/>
        <v>0</v>
      </c>
      <c r="AA213" s="458">
        <f t="shared" si="36"/>
        <v>0</v>
      </c>
      <c r="AB213" s="459"/>
      <c r="AC213" s="459"/>
      <c r="AD213" s="460">
        <f>AD212</f>
        <v>40391</v>
      </c>
      <c r="AE213" s="460">
        <f>AE212</f>
        <v>38018</v>
      </c>
      <c r="AF213" s="460">
        <f>DATE(YEAR(AF212)+1,MONTH(AF212),1)</f>
        <v>38384</v>
      </c>
      <c r="AG213" s="460">
        <f>DATE(YEAR(AF213),IF(AND(AF213&gt;D213,B213=1,C213=1),MONTH(D213),MONTH(AF213)),IF(AND(YEAR(D213)=YEAR(AF213),B213=1,C213=1),DAY(D213),DAY(AF213)))+IF(AND(YEAR(D213)=YEAR(AF213),B213=1,C213=1),0.01,0)</f>
        <v>38384</v>
      </c>
      <c r="AH213" s="460">
        <f aca="true" t="shared" si="37" ref="AH213:AH227">IF(AND(YEAR(AG213)=YEAR(D213),C213=1,MONTH(D213)&lt;MONTH(AG213)),D213,AG213)</f>
        <v>38384</v>
      </c>
      <c r="AI213" s="458">
        <f aca="true" t="shared" si="38" ref="AI213:AI233">IF(AH213&lt;AE213,AE213,AH213)</f>
        <v>38384</v>
      </c>
    </row>
    <row r="214" spans="1:35" ht="12.75">
      <c r="A214" s="452"/>
      <c r="B214" s="452">
        <f aca="true" t="shared" si="39" ref="B214:D229">B213</f>
        <v>2</v>
      </c>
      <c r="C214" s="452">
        <f t="shared" si="39"/>
        <v>2</v>
      </c>
      <c r="D214" s="456">
        <f t="shared" si="39"/>
        <v>38018</v>
      </c>
      <c r="E214" s="457">
        <f>H214</f>
        <v>0</v>
      </c>
      <c r="F214" s="458">
        <f t="shared" si="36"/>
        <v>0</v>
      </c>
      <c r="G214" s="458">
        <f t="shared" si="36"/>
        <v>0</v>
      </c>
      <c r="H214" s="458">
        <f t="shared" si="36"/>
        <v>0</v>
      </c>
      <c r="I214" s="458">
        <f t="shared" si="36"/>
        <v>0</v>
      </c>
      <c r="J214" s="458">
        <f t="shared" si="36"/>
        <v>0</v>
      </c>
      <c r="K214" s="458">
        <f t="shared" si="36"/>
        <v>0</v>
      </c>
      <c r="L214" s="458">
        <f t="shared" si="36"/>
        <v>0</v>
      </c>
      <c r="M214" s="458">
        <f t="shared" si="36"/>
        <v>0</v>
      </c>
      <c r="N214" s="458">
        <f t="shared" si="36"/>
        <v>0</v>
      </c>
      <c r="O214" s="458">
        <f t="shared" si="36"/>
        <v>0</v>
      </c>
      <c r="P214" s="458">
        <f t="shared" si="36"/>
        <v>0</v>
      </c>
      <c r="Q214" s="458">
        <f t="shared" si="36"/>
        <v>0</v>
      </c>
      <c r="R214" s="458">
        <f t="shared" si="36"/>
        <v>0</v>
      </c>
      <c r="S214" s="458">
        <f t="shared" si="36"/>
        <v>0</v>
      </c>
      <c r="T214" s="458">
        <f t="shared" si="36"/>
        <v>0</v>
      </c>
      <c r="U214" s="458">
        <f t="shared" si="36"/>
        <v>0</v>
      </c>
      <c r="V214" s="458">
        <f t="shared" si="36"/>
        <v>0</v>
      </c>
      <c r="W214" s="458">
        <f t="shared" si="36"/>
        <v>0</v>
      </c>
      <c r="X214" s="458">
        <f t="shared" si="36"/>
        <v>0</v>
      </c>
      <c r="Y214" s="458">
        <f t="shared" si="36"/>
        <v>0</v>
      </c>
      <c r="Z214" s="458">
        <f t="shared" si="36"/>
        <v>0</v>
      </c>
      <c r="AA214" s="458">
        <f t="shared" si="36"/>
        <v>0</v>
      </c>
      <c r="AB214" s="459"/>
      <c r="AC214" s="459"/>
      <c r="AD214" s="460">
        <f aca="true" t="shared" si="40" ref="AD214:AE229">AD213</f>
        <v>40391</v>
      </c>
      <c r="AE214" s="460">
        <f t="shared" si="40"/>
        <v>38018</v>
      </c>
      <c r="AF214" s="460">
        <f aca="true" t="shared" si="41" ref="AF214:AF227">DATE(YEAR(AF213)+1,MONTH(AF213),1)</f>
        <v>38749</v>
      </c>
      <c r="AG214" s="460">
        <f aca="true" t="shared" si="42" ref="AG214:AG227">DATE(YEAR(AF214),IF(AND(AF214&gt;D214,B214=1,C214=1),MONTH(D214),MONTH(AF214)),IF(AND(YEAR(D214)=YEAR(AF214),B214=1,C214=1),DAY(D214),DAY(AF214)))+IF(AND(YEAR(D214)=YEAR(AF214),B214=1,C214=1),0.01,0)</f>
        <v>38749</v>
      </c>
      <c r="AH214" s="460">
        <f t="shared" si="37"/>
        <v>38749</v>
      </c>
      <c r="AI214" s="458">
        <f t="shared" si="38"/>
        <v>38749</v>
      </c>
    </row>
    <row r="215" spans="1:35" ht="12.75">
      <c r="A215" s="452"/>
      <c r="B215" s="452">
        <f t="shared" si="39"/>
        <v>2</v>
      </c>
      <c r="C215" s="452">
        <f t="shared" si="39"/>
        <v>2</v>
      </c>
      <c r="D215" s="456">
        <f t="shared" si="39"/>
        <v>38018</v>
      </c>
      <c r="E215" s="457">
        <f>I215</f>
        <v>0</v>
      </c>
      <c r="F215" s="458">
        <f t="shared" si="36"/>
        <v>0</v>
      </c>
      <c r="G215" s="458">
        <f t="shared" si="36"/>
        <v>0</v>
      </c>
      <c r="H215" s="458">
        <f t="shared" si="36"/>
        <v>0</v>
      </c>
      <c r="I215" s="458">
        <f t="shared" si="36"/>
        <v>0</v>
      </c>
      <c r="J215" s="458">
        <f t="shared" si="36"/>
        <v>0</v>
      </c>
      <c r="K215" s="458">
        <f t="shared" si="36"/>
        <v>0</v>
      </c>
      <c r="L215" s="458">
        <f t="shared" si="36"/>
        <v>0</v>
      </c>
      <c r="M215" s="458">
        <f t="shared" si="36"/>
        <v>0</v>
      </c>
      <c r="N215" s="458">
        <f t="shared" si="36"/>
        <v>0</v>
      </c>
      <c r="O215" s="458">
        <f t="shared" si="36"/>
        <v>0</v>
      </c>
      <c r="P215" s="458">
        <f t="shared" si="36"/>
        <v>0</v>
      </c>
      <c r="Q215" s="458">
        <f t="shared" si="36"/>
        <v>0</v>
      </c>
      <c r="R215" s="458">
        <f t="shared" si="36"/>
        <v>0</v>
      </c>
      <c r="S215" s="458">
        <f t="shared" si="36"/>
        <v>0</v>
      </c>
      <c r="T215" s="458">
        <f t="shared" si="36"/>
        <v>0</v>
      </c>
      <c r="U215" s="458">
        <f t="shared" si="36"/>
        <v>0</v>
      </c>
      <c r="V215" s="458">
        <f t="shared" si="36"/>
        <v>0</v>
      </c>
      <c r="W215" s="458">
        <f t="shared" si="36"/>
        <v>0</v>
      </c>
      <c r="X215" s="458">
        <f t="shared" si="36"/>
        <v>0</v>
      </c>
      <c r="Y215" s="458">
        <f t="shared" si="36"/>
        <v>0</v>
      </c>
      <c r="Z215" s="458">
        <f t="shared" si="36"/>
        <v>0</v>
      </c>
      <c r="AA215" s="458">
        <f t="shared" si="36"/>
        <v>0</v>
      </c>
      <c r="AB215" s="459"/>
      <c r="AC215" s="459"/>
      <c r="AD215" s="460">
        <f t="shared" si="40"/>
        <v>40391</v>
      </c>
      <c r="AE215" s="460">
        <f t="shared" si="40"/>
        <v>38018</v>
      </c>
      <c r="AF215" s="460">
        <f t="shared" si="41"/>
        <v>39114</v>
      </c>
      <c r="AG215" s="460">
        <f t="shared" si="42"/>
        <v>39114</v>
      </c>
      <c r="AH215" s="460">
        <f t="shared" si="37"/>
        <v>39114</v>
      </c>
      <c r="AI215" s="458">
        <f t="shared" si="38"/>
        <v>39114</v>
      </c>
    </row>
    <row r="216" spans="1:35" ht="12.75">
      <c r="A216" s="452"/>
      <c r="B216" s="452">
        <f t="shared" si="39"/>
        <v>2</v>
      </c>
      <c r="C216" s="452">
        <f t="shared" si="39"/>
        <v>2</v>
      </c>
      <c r="D216" s="456">
        <f t="shared" si="39"/>
        <v>38018</v>
      </c>
      <c r="E216" s="457">
        <f>J216</f>
        <v>0</v>
      </c>
      <c r="F216" s="458">
        <f t="shared" si="36"/>
        <v>0</v>
      </c>
      <c r="G216" s="458">
        <f t="shared" si="36"/>
        <v>0</v>
      </c>
      <c r="H216" s="458">
        <f t="shared" si="36"/>
        <v>0</v>
      </c>
      <c r="I216" s="458">
        <f t="shared" si="36"/>
        <v>0</v>
      </c>
      <c r="J216" s="458">
        <f t="shared" si="36"/>
        <v>0</v>
      </c>
      <c r="K216" s="458">
        <f t="shared" si="36"/>
        <v>0</v>
      </c>
      <c r="L216" s="458">
        <f t="shared" si="36"/>
        <v>0</v>
      </c>
      <c r="M216" s="458">
        <f t="shared" si="36"/>
        <v>0</v>
      </c>
      <c r="N216" s="458">
        <f t="shared" si="36"/>
        <v>0</v>
      </c>
      <c r="O216" s="458">
        <f t="shared" si="36"/>
        <v>0</v>
      </c>
      <c r="P216" s="458">
        <f t="shared" si="36"/>
        <v>0</v>
      </c>
      <c r="Q216" s="458">
        <f t="shared" si="36"/>
        <v>0</v>
      </c>
      <c r="R216" s="458">
        <f t="shared" si="36"/>
        <v>0</v>
      </c>
      <c r="S216" s="458">
        <f t="shared" si="36"/>
        <v>0</v>
      </c>
      <c r="T216" s="458">
        <f t="shared" si="36"/>
        <v>0</v>
      </c>
      <c r="U216" s="458">
        <f t="shared" si="36"/>
        <v>0</v>
      </c>
      <c r="V216" s="458">
        <f t="shared" si="36"/>
        <v>0</v>
      </c>
      <c r="W216" s="458">
        <f t="shared" si="36"/>
        <v>0</v>
      </c>
      <c r="X216" s="458">
        <f t="shared" si="36"/>
        <v>0</v>
      </c>
      <c r="Y216" s="458">
        <f t="shared" si="36"/>
        <v>0</v>
      </c>
      <c r="Z216" s="458">
        <f t="shared" si="36"/>
        <v>0</v>
      </c>
      <c r="AA216" s="458">
        <f t="shared" si="36"/>
        <v>0</v>
      </c>
      <c r="AB216" s="459"/>
      <c r="AC216" s="459"/>
      <c r="AD216" s="460">
        <f t="shared" si="40"/>
        <v>40391</v>
      </c>
      <c r="AE216" s="460">
        <f t="shared" si="40"/>
        <v>38018</v>
      </c>
      <c r="AF216" s="460">
        <f t="shared" si="41"/>
        <v>39479</v>
      </c>
      <c r="AG216" s="460">
        <f t="shared" si="42"/>
        <v>39479</v>
      </c>
      <c r="AH216" s="460">
        <f t="shared" si="37"/>
        <v>39479</v>
      </c>
      <c r="AI216" s="458">
        <f t="shared" si="38"/>
        <v>39479</v>
      </c>
    </row>
    <row r="217" spans="1:35" ht="12.75">
      <c r="A217" s="452"/>
      <c r="B217" s="452">
        <f t="shared" si="39"/>
        <v>2</v>
      </c>
      <c r="C217" s="452">
        <f t="shared" si="39"/>
        <v>2</v>
      </c>
      <c r="D217" s="456">
        <f t="shared" si="39"/>
        <v>38018</v>
      </c>
      <c r="E217" s="457">
        <f>K217</f>
        <v>0</v>
      </c>
      <c r="F217" s="458">
        <f t="shared" si="36"/>
        <v>0</v>
      </c>
      <c r="G217" s="458">
        <f t="shared" si="36"/>
        <v>0</v>
      </c>
      <c r="H217" s="458">
        <f t="shared" si="36"/>
        <v>0</v>
      </c>
      <c r="I217" s="458">
        <f t="shared" si="36"/>
        <v>0</v>
      </c>
      <c r="J217" s="458">
        <f t="shared" si="36"/>
        <v>0</v>
      </c>
      <c r="K217" s="458">
        <f t="shared" si="36"/>
        <v>0</v>
      </c>
      <c r="L217" s="458">
        <f t="shared" si="36"/>
        <v>0</v>
      </c>
      <c r="M217" s="458">
        <f t="shared" si="36"/>
        <v>0</v>
      </c>
      <c r="N217" s="458">
        <f t="shared" si="36"/>
        <v>0</v>
      </c>
      <c r="O217" s="458">
        <f t="shared" si="36"/>
        <v>0</v>
      </c>
      <c r="P217" s="458">
        <f t="shared" si="36"/>
        <v>0</v>
      </c>
      <c r="Q217" s="458">
        <f t="shared" si="36"/>
        <v>0</v>
      </c>
      <c r="R217" s="458">
        <f t="shared" si="36"/>
        <v>0</v>
      </c>
      <c r="S217" s="458">
        <f t="shared" si="36"/>
        <v>0</v>
      </c>
      <c r="T217" s="458">
        <f t="shared" si="36"/>
        <v>0</v>
      </c>
      <c r="U217" s="458">
        <f t="shared" si="36"/>
        <v>0</v>
      </c>
      <c r="V217" s="458">
        <f t="shared" si="36"/>
        <v>0</v>
      </c>
      <c r="W217" s="458">
        <f t="shared" si="36"/>
        <v>0</v>
      </c>
      <c r="X217" s="458">
        <f t="shared" si="36"/>
        <v>0</v>
      </c>
      <c r="Y217" s="458">
        <f t="shared" si="36"/>
        <v>0</v>
      </c>
      <c r="Z217" s="458">
        <f t="shared" si="36"/>
        <v>0</v>
      </c>
      <c r="AA217" s="458">
        <f t="shared" si="36"/>
        <v>0</v>
      </c>
      <c r="AB217" s="459"/>
      <c r="AC217" s="459"/>
      <c r="AD217" s="460">
        <f t="shared" si="40"/>
        <v>40391</v>
      </c>
      <c r="AE217" s="460">
        <f t="shared" si="40"/>
        <v>38018</v>
      </c>
      <c r="AF217" s="460">
        <f t="shared" si="41"/>
        <v>39845</v>
      </c>
      <c r="AG217" s="460">
        <f t="shared" si="42"/>
        <v>39845</v>
      </c>
      <c r="AH217" s="460">
        <f t="shared" si="37"/>
        <v>39845</v>
      </c>
      <c r="AI217" s="458">
        <f t="shared" si="38"/>
        <v>39845</v>
      </c>
    </row>
    <row r="218" spans="1:35" ht="12.75">
      <c r="A218" s="452"/>
      <c r="B218" s="452">
        <f t="shared" si="39"/>
        <v>2</v>
      </c>
      <c r="C218" s="452">
        <f t="shared" si="39"/>
        <v>2</v>
      </c>
      <c r="D218" s="456">
        <f t="shared" si="39"/>
        <v>38018</v>
      </c>
      <c r="E218" s="457">
        <f>L218</f>
        <v>0</v>
      </c>
      <c r="F218" s="458">
        <f t="shared" si="36"/>
        <v>0</v>
      </c>
      <c r="G218" s="458">
        <f t="shared" si="36"/>
        <v>0</v>
      </c>
      <c r="H218" s="458">
        <f t="shared" si="36"/>
        <v>0</v>
      </c>
      <c r="I218" s="458">
        <f t="shared" si="36"/>
        <v>0</v>
      </c>
      <c r="J218" s="458">
        <f t="shared" si="36"/>
        <v>0</v>
      </c>
      <c r="K218" s="458">
        <f t="shared" si="36"/>
        <v>0</v>
      </c>
      <c r="L218" s="458">
        <f t="shared" si="36"/>
        <v>0</v>
      </c>
      <c r="M218" s="458">
        <f t="shared" si="36"/>
        <v>0</v>
      </c>
      <c r="N218" s="458">
        <f t="shared" si="36"/>
        <v>0</v>
      </c>
      <c r="O218" s="458">
        <f t="shared" si="36"/>
        <v>0</v>
      </c>
      <c r="P218" s="458">
        <f t="shared" si="36"/>
        <v>0</v>
      </c>
      <c r="Q218" s="458">
        <f t="shared" si="36"/>
        <v>0</v>
      </c>
      <c r="R218" s="458">
        <f t="shared" si="36"/>
        <v>0</v>
      </c>
      <c r="S218" s="458">
        <f t="shared" si="36"/>
        <v>0</v>
      </c>
      <c r="T218" s="458">
        <f t="shared" si="36"/>
        <v>0</v>
      </c>
      <c r="U218" s="458">
        <f t="shared" si="36"/>
        <v>0</v>
      </c>
      <c r="V218" s="458">
        <f t="shared" si="36"/>
        <v>0</v>
      </c>
      <c r="W218" s="458">
        <f t="shared" si="36"/>
        <v>0</v>
      </c>
      <c r="X218" s="458">
        <f t="shared" si="36"/>
        <v>0</v>
      </c>
      <c r="Y218" s="458">
        <f t="shared" si="36"/>
        <v>0</v>
      </c>
      <c r="Z218" s="458">
        <f t="shared" si="36"/>
        <v>0</v>
      </c>
      <c r="AA218" s="458">
        <f t="shared" si="36"/>
        <v>0</v>
      </c>
      <c r="AB218" s="459"/>
      <c r="AC218" s="459"/>
      <c r="AD218" s="460">
        <f t="shared" si="40"/>
        <v>40391</v>
      </c>
      <c r="AE218" s="460">
        <f t="shared" si="40"/>
        <v>38018</v>
      </c>
      <c r="AF218" s="460">
        <f t="shared" si="41"/>
        <v>40210</v>
      </c>
      <c r="AG218" s="460">
        <f t="shared" si="42"/>
        <v>40210</v>
      </c>
      <c r="AH218" s="460">
        <f t="shared" si="37"/>
        <v>40210</v>
      </c>
      <c r="AI218" s="458">
        <f t="shared" si="38"/>
        <v>40210</v>
      </c>
    </row>
    <row r="219" spans="1:35" ht="12.75">
      <c r="A219" s="452"/>
      <c r="B219" s="452">
        <f t="shared" si="39"/>
        <v>2</v>
      </c>
      <c r="C219" s="452">
        <f t="shared" si="39"/>
        <v>2</v>
      </c>
      <c r="D219" s="456">
        <f t="shared" si="39"/>
        <v>38018</v>
      </c>
      <c r="E219" s="457">
        <f>M219</f>
        <v>0</v>
      </c>
      <c r="F219" s="458">
        <f t="shared" si="36"/>
        <v>0</v>
      </c>
      <c r="G219" s="458">
        <f t="shared" si="36"/>
        <v>0</v>
      </c>
      <c r="H219" s="458">
        <f t="shared" si="36"/>
        <v>0</v>
      </c>
      <c r="I219" s="458">
        <f t="shared" si="36"/>
        <v>0</v>
      </c>
      <c r="J219" s="458">
        <f t="shared" si="36"/>
        <v>0</v>
      </c>
      <c r="K219" s="458">
        <f t="shared" si="36"/>
        <v>0</v>
      </c>
      <c r="L219" s="458">
        <f t="shared" si="36"/>
        <v>0</v>
      </c>
      <c r="M219" s="458">
        <f t="shared" si="36"/>
        <v>0</v>
      </c>
      <c r="N219" s="458">
        <f t="shared" si="36"/>
        <v>0</v>
      </c>
      <c r="O219" s="458">
        <f t="shared" si="36"/>
        <v>0</v>
      </c>
      <c r="P219" s="458">
        <f t="shared" si="36"/>
        <v>0</v>
      </c>
      <c r="Q219" s="458">
        <f t="shared" si="36"/>
        <v>0</v>
      </c>
      <c r="R219" s="458">
        <f t="shared" si="36"/>
        <v>0</v>
      </c>
      <c r="S219" s="458">
        <f t="shared" si="36"/>
        <v>0</v>
      </c>
      <c r="T219" s="458">
        <f t="shared" si="36"/>
        <v>0</v>
      </c>
      <c r="U219" s="458">
        <f t="shared" si="36"/>
        <v>0</v>
      </c>
      <c r="V219" s="458">
        <f t="shared" si="36"/>
        <v>0</v>
      </c>
      <c r="W219" s="458">
        <f t="shared" si="36"/>
        <v>0</v>
      </c>
      <c r="X219" s="458">
        <f t="shared" si="36"/>
        <v>0</v>
      </c>
      <c r="Y219" s="458">
        <f t="shared" si="36"/>
        <v>0</v>
      </c>
      <c r="Z219" s="458">
        <f t="shared" si="36"/>
        <v>0</v>
      </c>
      <c r="AA219" s="458">
        <f t="shared" si="36"/>
        <v>0</v>
      </c>
      <c r="AB219" s="459"/>
      <c r="AC219" s="459"/>
      <c r="AD219" s="460">
        <f t="shared" si="40"/>
        <v>40391</v>
      </c>
      <c r="AE219" s="460">
        <f t="shared" si="40"/>
        <v>38018</v>
      </c>
      <c r="AF219" s="460">
        <f t="shared" si="41"/>
        <v>40575</v>
      </c>
      <c r="AG219" s="460">
        <f t="shared" si="42"/>
        <v>40575</v>
      </c>
      <c r="AH219" s="460">
        <f t="shared" si="37"/>
        <v>40575</v>
      </c>
      <c r="AI219" s="458">
        <f t="shared" si="38"/>
        <v>40575</v>
      </c>
    </row>
    <row r="220" spans="1:35" ht="12.75">
      <c r="A220" s="452"/>
      <c r="B220" s="452">
        <f t="shared" si="39"/>
        <v>2</v>
      </c>
      <c r="C220" s="452">
        <f t="shared" si="39"/>
        <v>2</v>
      </c>
      <c r="D220" s="456">
        <f t="shared" si="39"/>
        <v>38018</v>
      </c>
      <c r="E220" s="457">
        <f>N220</f>
        <v>0</v>
      </c>
      <c r="F220" s="458">
        <f t="shared" si="36"/>
        <v>0</v>
      </c>
      <c r="G220" s="458">
        <f t="shared" si="36"/>
        <v>0</v>
      </c>
      <c r="H220" s="458">
        <f t="shared" si="36"/>
        <v>0</v>
      </c>
      <c r="I220" s="458">
        <f t="shared" si="36"/>
        <v>0</v>
      </c>
      <c r="J220" s="458">
        <f t="shared" si="36"/>
        <v>0</v>
      </c>
      <c r="K220" s="458">
        <f t="shared" si="36"/>
        <v>0</v>
      </c>
      <c r="L220" s="458">
        <f t="shared" si="36"/>
        <v>0</v>
      </c>
      <c r="M220" s="458">
        <f t="shared" si="36"/>
        <v>0</v>
      </c>
      <c r="N220" s="458">
        <f t="shared" si="36"/>
        <v>0</v>
      </c>
      <c r="O220" s="458">
        <f t="shared" si="36"/>
        <v>0</v>
      </c>
      <c r="P220" s="458">
        <f t="shared" si="36"/>
        <v>0</v>
      </c>
      <c r="Q220" s="458">
        <f t="shared" si="36"/>
        <v>0</v>
      </c>
      <c r="R220" s="458">
        <f t="shared" si="36"/>
        <v>0</v>
      </c>
      <c r="S220" s="458">
        <f t="shared" si="36"/>
        <v>0</v>
      </c>
      <c r="T220" s="458">
        <f t="shared" si="36"/>
        <v>0</v>
      </c>
      <c r="U220" s="458">
        <f t="shared" si="36"/>
        <v>0</v>
      </c>
      <c r="V220" s="458">
        <f t="shared" si="36"/>
        <v>0</v>
      </c>
      <c r="W220" s="458">
        <f t="shared" si="36"/>
        <v>0</v>
      </c>
      <c r="X220" s="458">
        <f t="shared" si="36"/>
        <v>0</v>
      </c>
      <c r="Y220" s="458">
        <f t="shared" si="36"/>
        <v>0</v>
      </c>
      <c r="Z220" s="458">
        <f t="shared" si="36"/>
        <v>0</v>
      </c>
      <c r="AA220" s="458">
        <f t="shared" si="36"/>
        <v>0</v>
      </c>
      <c r="AB220" s="459"/>
      <c r="AC220" s="459"/>
      <c r="AD220" s="460">
        <f t="shared" si="40"/>
        <v>40391</v>
      </c>
      <c r="AE220" s="460">
        <f t="shared" si="40"/>
        <v>38018</v>
      </c>
      <c r="AF220" s="460">
        <f t="shared" si="41"/>
        <v>40940</v>
      </c>
      <c r="AG220" s="460">
        <f t="shared" si="42"/>
        <v>40940</v>
      </c>
      <c r="AH220" s="460">
        <f t="shared" si="37"/>
        <v>40940</v>
      </c>
      <c r="AI220" s="458">
        <f t="shared" si="38"/>
        <v>40940</v>
      </c>
    </row>
    <row r="221" spans="1:35" ht="12.75">
      <c r="A221" s="452"/>
      <c r="B221" s="452">
        <f t="shared" si="39"/>
        <v>2</v>
      </c>
      <c r="C221" s="452">
        <f t="shared" si="39"/>
        <v>2</v>
      </c>
      <c r="D221" s="456">
        <f t="shared" si="39"/>
        <v>38018</v>
      </c>
      <c r="E221" s="457">
        <f>O221</f>
        <v>0</v>
      </c>
      <c r="F221" s="458">
        <f t="shared" si="36"/>
        <v>0</v>
      </c>
      <c r="G221" s="458">
        <f t="shared" si="36"/>
        <v>0</v>
      </c>
      <c r="H221" s="458">
        <f t="shared" si="36"/>
        <v>0</v>
      </c>
      <c r="I221" s="458">
        <f t="shared" si="36"/>
        <v>0</v>
      </c>
      <c r="J221" s="458">
        <f t="shared" si="36"/>
        <v>0</v>
      </c>
      <c r="K221" s="458">
        <f t="shared" si="36"/>
        <v>0</v>
      </c>
      <c r="L221" s="458">
        <f t="shared" si="36"/>
        <v>0</v>
      </c>
      <c r="M221" s="458">
        <f t="shared" si="36"/>
        <v>0</v>
      </c>
      <c r="N221" s="458">
        <f t="shared" si="36"/>
        <v>0</v>
      </c>
      <c r="O221" s="458">
        <f t="shared" si="36"/>
        <v>0</v>
      </c>
      <c r="P221" s="458">
        <f t="shared" si="36"/>
        <v>0</v>
      </c>
      <c r="Q221" s="458">
        <f t="shared" si="36"/>
        <v>0</v>
      </c>
      <c r="R221" s="458">
        <f t="shared" si="36"/>
        <v>0</v>
      </c>
      <c r="S221" s="458">
        <f t="shared" si="36"/>
        <v>0</v>
      </c>
      <c r="T221" s="458">
        <f t="shared" si="36"/>
        <v>0</v>
      </c>
      <c r="U221" s="458">
        <f t="shared" si="36"/>
        <v>0</v>
      </c>
      <c r="V221" s="458">
        <f t="shared" si="36"/>
        <v>0</v>
      </c>
      <c r="W221" s="458">
        <f t="shared" si="36"/>
        <v>0</v>
      </c>
      <c r="X221" s="458">
        <f t="shared" si="36"/>
        <v>0</v>
      </c>
      <c r="Y221" s="458">
        <f t="shared" si="36"/>
        <v>0</v>
      </c>
      <c r="Z221" s="458">
        <f t="shared" si="36"/>
        <v>0</v>
      </c>
      <c r="AA221" s="458">
        <f t="shared" si="36"/>
        <v>0</v>
      </c>
      <c r="AB221" s="459"/>
      <c r="AC221" s="459"/>
      <c r="AD221" s="460">
        <f t="shared" si="40"/>
        <v>40391</v>
      </c>
      <c r="AE221" s="460">
        <f t="shared" si="40"/>
        <v>38018</v>
      </c>
      <c r="AF221" s="460">
        <f t="shared" si="41"/>
        <v>41306</v>
      </c>
      <c r="AG221" s="460">
        <f t="shared" si="42"/>
        <v>41306</v>
      </c>
      <c r="AH221" s="460">
        <f t="shared" si="37"/>
        <v>41306</v>
      </c>
      <c r="AI221" s="458">
        <f t="shared" si="38"/>
        <v>41306</v>
      </c>
    </row>
    <row r="222" spans="1:35" ht="12.75">
      <c r="A222" s="452"/>
      <c r="B222" s="452">
        <f t="shared" si="39"/>
        <v>2</v>
      </c>
      <c r="C222" s="452">
        <f t="shared" si="39"/>
        <v>2</v>
      </c>
      <c r="D222" s="456">
        <f t="shared" si="39"/>
        <v>38018</v>
      </c>
      <c r="E222" s="457">
        <f>P222</f>
        <v>0</v>
      </c>
      <c r="F222" s="458">
        <f t="shared" si="36"/>
        <v>0</v>
      </c>
      <c r="G222" s="458">
        <f t="shared" si="36"/>
        <v>0</v>
      </c>
      <c r="H222" s="458">
        <f t="shared" si="36"/>
        <v>0</v>
      </c>
      <c r="I222" s="458">
        <f t="shared" si="36"/>
        <v>0</v>
      </c>
      <c r="J222" s="458">
        <f t="shared" si="36"/>
        <v>0</v>
      </c>
      <c r="K222" s="458">
        <f t="shared" si="36"/>
        <v>0</v>
      </c>
      <c r="L222" s="458">
        <f t="shared" si="36"/>
        <v>0</v>
      </c>
      <c r="M222" s="458">
        <f t="shared" si="36"/>
        <v>0</v>
      </c>
      <c r="N222" s="458">
        <f t="shared" si="36"/>
        <v>0</v>
      </c>
      <c r="O222" s="458">
        <f t="shared" si="36"/>
        <v>0</v>
      </c>
      <c r="P222" s="458">
        <f t="shared" si="36"/>
        <v>0</v>
      </c>
      <c r="Q222" s="458">
        <f t="shared" si="36"/>
        <v>0</v>
      </c>
      <c r="R222" s="458">
        <f t="shared" si="36"/>
        <v>0</v>
      </c>
      <c r="S222" s="458">
        <f t="shared" si="36"/>
        <v>0</v>
      </c>
      <c r="T222" s="458">
        <f t="shared" si="36"/>
        <v>0</v>
      </c>
      <c r="U222" s="458">
        <f t="shared" si="36"/>
        <v>0</v>
      </c>
      <c r="V222" s="458">
        <f t="shared" si="36"/>
        <v>0</v>
      </c>
      <c r="W222" s="458">
        <f t="shared" si="36"/>
        <v>0</v>
      </c>
      <c r="X222" s="458">
        <f t="shared" si="36"/>
        <v>0</v>
      </c>
      <c r="Y222" s="458">
        <f t="shared" si="36"/>
        <v>0</v>
      </c>
      <c r="Z222" s="458">
        <f t="shared" si="36"/>
        <v>0</v>
      </c>
      <c r="AA222" s="458">
        <f t="shared" si="36"/>
        <v>0</v>
      </c>
      <c r="AB222" s="459"/>
      <c r="AC222" s="459"/>
      <c r="AD222" s="460">
        <f t="shared" si="40"/>
        <v>40391</v>
      </c>
      <c r="AE222" s="460">
        <f t="shared" si="40"/>
        <v>38018</v>
      </c>
      <c r="AF222" s="460">
        <f t="shared" si="41"/>
        <v>41671</v>
      </c>
      <c r="AG222" s="460">
        <f t="shared" si="42"/>
        <v>41671</v>
      </c>
      <c r="AH222" s="460">
        <f t="shared" si="37"/>
        <v>41671</v>
      </c>
      <c r="AI222" s="458">
        <f t="shared" si="38"/>
        <v>41671</v>
      </c>
    </row>
    <row r="223" spans="1:35" ht="12.75">
      <c r="A223" s="452"/>
      <c r="B223" s="452">
        <f t="shared" si="39"/>
        <v>2</v>
      </c>
      <c r="C223" s="452">
        <f t="shared" si="39"/>
        <v>2</v>
      </c>
      <c r="D223" s="456">
        <f t="shared" si="39"/>
        <v>38018</v>
      </c>
      <c r="E223" s="457">
        <f>Q223</f>
        <v>0</v>
      </c>
      <c r="F223" s="458">
        <f t="shared" si="36"/>
        <v>0</v>
      </c>
      <c r="G223" s="458">
        <f t="shared" si="36"/>
        <v>0</v>
      </c>
      <c r="H223" s="458">
        <f t="shared" si="36"/>
        <v>0</v>
      </c>
      <c r="I223" s="458">
        <f t="shared" si="36"/>
        <v>0</v>
      </c>
      <c r="J223" s="458">
        <f t="shared" si="36"/>
        <v>0</v>
      </c>
      <c r="K223" s="458">
        <f t="shared" si="36"/>
        <v>0</v>
      </c>
      <c r="L223" s="458">
        <f t="shared" si="36"/>
        <v>0</v>
      </c>
      <c r="M223" s="458">
        <f t="shared" si="36"/>
        <v>0</v>
      </c>
      <c r="N223" s="458">
        <f t="shared" si="36"/>
        <v>0</v>
      </c>
      <c r="O223" s="458">
        <f t="shared" si="36"/>
        <v>0</v>
      </c>
      <c r="P223" s="458">
        <f t="shared" si="36"/>
        <v>0</v>
      </c>
      <c r="Q223" s="458">
        <f t="shared" si="36"/>
        <v>0</v>
      </c>
      <c r="R223" s="458">
        <f t="shared" si="36"/>
        <v>0</v>
      </c>
      <c r="S223" s="458">
        <f t="shared" si="36"/>
        <v>0</v>
      </c>
      <c r="T223" s="458">
        <f t="shared" si="36"/>
        <v>0</v>
      </c>
      <c r="U223" s="458">
        <f t="shared" si="36"/>
        <v>0</v>
      </c>
      <c r="V223" s="458">
        <f t="shared" si="36"/>
        <v>0</v>
      </c>
      <c r="W223" s="458">
        <f t="shared" si="36"/>
        <v>0</v>
      </c>
      <c r="X223" s="458">
        <f t="shared" si="36"/>
        <v>0</v>
      </c>
      <c r="Y223" s="458">
        <f t="shared" si="36"/>
        <v>0</v>
      </c>
      <c r="Z223" s="458">
        <f t="shared" si="36"/>
        <v>0</v>
      </c>
      <c r="AA223" s="458">
        <f t="shared" si="36"/>
        <v>0</v>
      </c>
      <c r="AB223" s="459"/>
      <c r="AC223" s="459"/>
      <c r="AD223" s="460">
        <f t="shared" si="40"/>
        <v>40391</v>
      </c>
      <c r="AE223" s="460">
        <f t="shared" si="40"/>
        <v>38018</v>
      </c>
      <c r="AF223" s="460">
        <f t="shared" si="41"/>
        <v>42036</v>
      </c>
      <c r="AG223" s="460">
        <f t="shared" si="42"/>
        <v>42036</v>
      </c>
      <c r="AH223" s="460">
        <f t="shared" si="37"/>
        <v>42036</v>
      </c>
      <c r="AI223" s="458">
        <f t="shared" si="38"/>
        <v>42036</v>
      </c>
    </row>
    <row r="224" spans="1:35" ht="12.75">
      <c r="A224" s="452"/>
      <c r="B224" s="452">
        <f t="shared" si="39"/>
        <v>2</v>
      </c>
      <c r="C224" s="452">
        <f t="shared" si="39"/>
        <v>2</v>
      </c>
      <c r="D224" s="456">
        <f t="shared" si="39"/>
        <v>38018</v>
      </c>
      <c r="E224" s="457">
        <f>R224</f>
        <v>0</v>
      </c>
      <c r="F224" s="458">
        <f t="shared" si="36"/>
        <v>0</v>
      </c>
      <c r="G224" s="458">
        <f t="shared" si="36"/>
        <v>0</v>
      </c>
      <c r="H224" s="458">
        <f t="shared" si="36"/>
        <v>0</v>
      </c>
      <c r="I224" s="458">
        <f t="shared" si="36"/>
        <v>0</v>
      </c>
      <c r="J224" s="458">
        <f t="shared" si="36"/>
        <v>0</v>
      </c>
      <c r="K224" s="458">
        <f t="shared" si="36"/>
        <v>0</v>
      </c>
      <c r="L224" s="458">
        <f t="shared" si="36"/>
        <v>0</v>
      </c>
      <c r="M224" s="458">
        <f t="shared" si="36"/>
        <v>0</v>
      </c>
      <c r="N224" s="458">
        <f t="shared" si="36"/>
        <v>0</v>
      </c>
      <c r="O224" s="458">
        <f t="shared" si="36"/>
        <v>0</v>
      </c>
      <c r="P224" s="458">
        <f t="shared" si="36"/>
        <v>0</v>
      </c>
      <c r="Q224" s="458">
        <f t="shared" si="36"/>
        <v>0</v>
      </c>
      <c r="R224" s="458">
        <f t="shared" si="36"/>
        <v>0</v>
      </c>
      <c r="S224" s="458">
        <f aca="true" t="shared" si="43" ref="F224:AA233">S223</f>
        <v>0</v>
      </c>
      <c r="T224" s="458">
        <f t="shared" si="43"/>
        <v>0</v>
      </c>
      <c r="U224" s="458">
        <f t="shared" si="43"/>
        <v>0</v>
      </c>
      <c r="V224" s="458">
        <f t="shared" si="43"/>
        <v>0</v>
      </c>
      <c r="W224" s="458">
        <f t="shared" si="43"/>
        <v>0</v>
      </c>
      <c r="X224" s="458">
        <f t="shared" si="43"/>
        <v>0</v>
      </c>
      <c r="Y224" s="458">
        <f t="shared" si="43"/>
        <v>0</v>
      </c>
      <c r="Z224" s="458">
        <f t="shared" si="43"/>
        <v>0</v>
      </c>
      <c r="AA224" s="458">
        <f t="shared" si="43"/>
        <v>0</v>
      </c>
      <c r="AB224" s="459"/>
      <c r="AC224" s="459"/>
      <c r="AD224" s="460">
        <f t="shared" si="40"/>
        <v>40391</v>
      </c>
      <c r="AE224" s="460">
        <f t="shared" si="40"/>
        <v>38018</v>
      </c>
      <c r="AF224" s="460">
        <f t="shared" si="41"/>
        <v>42401</v>
      </c>
      <c r="AG224" s="460">
        <f t="shared" si="42"/>
        <v>42401</v>
      </c>
      <c r="AH224" s="460">
        <f t="shared" si="37"/>
        <v>42401</v>
      </c>
      <c r="AI224" s="458">
        <f t="shared" si="38"/>
        <v>42401</v>
      </c>
    </row>
    <row r="225" spans="1:35" ht="12.75">
      <c r="A225" s="452"/>
      <c r="B225" s="452">
        <f t="shared" si="39"/>
        <v>2</v>
      </c>
      <c r="C225" s="452">
        <f t="shared" si="39"/>
        <v>2</v>
      </c>
      <c r="D225" s="456">
        <f t="shared" si="39"/>
        <v>38018</v>
      </c>
      <c r="E225" s="457">
        <f>S225</f>
        <v>0</v>
      </c>
      <c r="F225" s="458">
        <f t="shared" si="43"/>
        <v>0</v>
      </c>
      <c r="G225" s="458">
        <f t="shared" si="43"/>
        <v>0</v>
      </c>
      <c r="H225" s="458">
        <f t="shared" si="43"/>
        <v>0</v>
      </c>
      <c r="I225" s="458">
        <f t="shared" si="43"/>
        <v>0</v>
      </c>
      <c r="J225" s="458">
        <f t="shared" si="43"/>
        <v>0</v>
      </c>
      <c r="K225" s="458">
        <f t="shared" si="43"/>
        <v>0</v>
      </c>
      <c r="L225" s="458">
        <f t="shared" si="43"/>
        <v>0</v>
      </c>
      <c r="M225" s="458">
        <f t="shared" si="43"/>
        <v>0</v>
      </c>
      <c r="N225" s="458">
        <f t="shared" si="43"/>
        <v>0</v>
      </c>
      <c r="O225" s="458">
        <f t="shared" si="43"/>
        <v>0</v>
      </c>
      <c r="P225" s="458">
        <f t="shared" si="43"/>
        <v>0</v>
      </c>
      <c r="Q225" s="458">
        <f t="shared" si="43"/>
        <v>0</v>
      </c>
      <c r="R225" s="458">
        <f t="shared" si="43"/>
        <v>0</v>
      </c>
      <c r="S225" s="458">
        <f t="shared" si="43"/>
        <v>0</v>
      </c>
      <c r="T225" s="458">
        <f t="shared" si="43"/>
        <v>0</v>
      </c>
      <c r="U225" s="458">
        <f t="shared" si="43"/>
        <v>0</v>
      </c>
      <c r="V225" s="458">
        <f t="shared" si="43"/>
        <v>0</v>
      </c>
      <c r="W225" s="458">
        <f t="shared" si="43"/>
        <v>0</v>
      </c>
      <c r="X225" s="458">
        <f t="shared" si="43"/>
        <v>0</v>
      </c>
      <c r="Y225" s="458">
        <f t="shared" si="43"/>
        <v>0</v>
      </c>
      <c r="Z225" s="458">
        <f t="shared" si="43"/>
        <v>0</v>
      </c>
      <c r="AA225" s="458">
        <f t="shared" si="43"/>
        <v>0</v>
      </c>
      <c r="AB225" s="459"/>
      <c r="AC225" s="459"/>
      <c r="AD225" s="460">
        <f t="shared" si="40"/>
        <v>40391</v>
      </c>
      <c r="AE225" s="460">
        <f t="shared" si="40"/>
        <v>38018</v>
      </c>
      <c r="AF225" s="460">
        <f t="shared" si="41"/>
        <v>42767</v>
      </c>
      <c r="AG225" s="460">
        <f t="shared" si="42"/>
        <v>42767</v>
      </c>
      <c r="AH225" s="460">
        <f t="shared" si="37"/>
        <v>42767</v>
      </c>
      <c r="AI225" s="458">
        <f t="shared" si="38"/>
        <v>42767</v>
      </c>
    </row>
    <row r="226" spans="1:35" ht="12.75">
      <c r="A226" s="452"/>
      <c r="B226" s="452">
        <f t="shared" si="39"/>
        <v>2</v>
      </c>
      <c r="C226" s="452">
        <f t="shared" si="39"/>
        <v>2</v>
      </c>
      <c r="D226" s="456">
        <f t="shared" si="39"/>
        <v>38018</v>
      </c>
      <c r="E226" s="457">
        <f>T226</f>
        <v>0</v>
      </c>
      <c r="F226" s="458">
        <f t="shared" si="43"/>
        <v>0</v>
      </c>
      <c r="G226" s="458">
        <f t="shared" si="43"/>
        <v>0</v>
      </c>
      <c r="H226" s="458">
        <f t="shared" si="43"/>
        <v>0</v>
      </c>
      <c r="I226" s="458">
        <f t="shared" si="43"/>
        <v>0</v>
      </c>
      <c r="J226" s="458">
        <f t="shared" si="43"/>
        <v>0</v>
      </c>
      <c r="K226" s="458">
        <f t="shared" si="43"/>
        <v>0</v>
      </c>
      <c r="L226" s="458">
        <f t="shared" si="43"/>
        <v>0</v>
      </c>
      <c r="M226" s="458">
        <f t="shared" si="43"/>
        <v>0</v>
      </c>
      <c r="N226" s="458">
        <f t="shared" si="43"/>
        <v>0</v>
      </c>
      <c r="O226" s="458">
        <f t="shared" si="43"/>
        <v>0</v>
      </c>
      <c r="P226" s="458">
        <f t="shared" si="43"/>
        <v>0</v>
      </c>
      <c r="Q226" s="458">
        <f t="shared" si="43"/>
        <v>0</v>
      </c>
      <c r="R226" s="458">
        <f t="shared" si="43"/>
        <v>0</v>
      </c>
      <c r="S226" s="458">
        <f t="shared" si="43"/>
        <v>0</v>
      </c>
      <c r="T226" s="458">
        <f t="shared" si="43"/>
        <v>0</v>
      </c>
      <c r="U226" s="458">
        <f t="shared" si="43"/>
        <v>0</v>
      </c>
      <c r="V226" s="458">
        <f t="shared" si="43"/>
        <v>0</v>
      </c>
      <c r="W226" s="458">
        <f t="shared" si="43"/>
        <v>0</v>
      </c>
      <c r="X226" s="458">
        <f t="shared" si="43"/>
        <v>0</v>
      </c>
      <c r="Y226" s="458">
        <f t="shared" si="43"/>
        <v>0</v>
      </c>
      <c r="Z226" s="458">
        <f t="shared" si="43"/>
        <v>0</v>
      </c>
      <c r="AA226" s="458">
        <f t="shared" si="43"/>
        <v>0</v>
      </c>
      <c r="AB226" s="459"/>
      <c r="AC226" s="459"/>
      <c r="AD226" s="460">
        <f t="shared" si="40"/>
        <v>40391</v>
      </c>
      <c r="AE226" s="460">
        <f t="shared" si="40"/>
        <v>38018</v>
      </c>
      <c r="AF226" s="460">
        <f t="shared" si="41"/>
        <v>43132</v>
      </c>
      <c r="AG226" s="460">
        <f t="shared" si="42"/>
        <v>43132</v>
      </c>
      <c r="AH226" s="460">
        <f t="shared" si="37"/>
        <v>43132</v>
      </c>
      <c r="AI226" s="458">
        <f t="shared" si="38"/>
        <v>43132</v>
      </c>
    </row>
    <row r="227" spans="1:35" ht="12.75">
      <c r="A227" s="452"/>
      <c r="B227" s="452">
        <f t="shared" si="39"/>
        <v>2</v>
      </c>
      <c r="C227" s="452">
        <f t="shared" si="39"/>
        <v>2</v>
      </c>
      <c r="D227" s="456">
        <f t="shared" si="39"/>
        <v>38018</v>
      </c>
      <c r="E227" s="457">
        <f>U227</f>
        <v>0</v>
      </c>
      <c r="F227" s="458">
        <f t="shared" si="43"/>
        <v>0</v>
      </c>
      <c r="G227" s="458">
        <f t="shared" si="43"/>
        <v>0</v>
      </c>
      <c r="H227" s="458">
        <f t="shared" si="43"/>
        <v>0</v>
      </c>
      <c r="I227" s="458">
        <f t="shared" si="43"/>
        <v>0</v>
      </c>
      <c r="J227" s="458">
        <f t="shared" si="43"/>
        <v>0</v>
      </c>
      <c r="K227" s="458">
        <f t="shared" si="43"/>
        <v>0</v>
      </c>
      <c r="L227" s="458">
        <f t="shared" si="43"/>
        <v>0</v>
      </c>
      <c r="M227" s="458">
        <f t="shared" si="43"/>
        <v>0</v>
      </c>
      <c r="N227" s="458">
        <f t="shared" si="43"/>
        <v>0</v>
      </c>
      <c r="O227" s="458">
        <f t="shared" si="43"/>
        <v>0</v>
      </c>
      <c r="P227" s="458">
        <f t="shared" si="43"/>
        <v>0</v>
      </c>
      <c r="Q227" s="458">
        <f t="shared" si="43"/>
        <v>0</v>
      </c>
      <c r="R227" s="458">
        <f t="shared" si="43"/>
        <v>0</v>
      </c>
      <c r="S227" s="458">
        <f t="shared" si="43"/>
        <v>0</v>
      </c>
      <c r="T227" s="458">
        <f t="shared" si="43"/>
        <v>0</v>
      </c>
      <c r="U227" s="458">
        <f t="shared" si="43"/>
        <v>0</v>
      </c>
      <c r="V227" s="458">
        <f t="shared" si="43"/>
        <v>0</v>
      </c>
      <c r="W227" s="458">
        <f t="shared" si="43"/>
        <v>0</v>
      </c>
      <c r="X227" s="458">
        <f t="shared" si="43"/>
        <v>0</v>
      </c>
      <c r="Y227" s="458">
        <f t="shared" si="43"/>
        <v>0</v>
      </c>
      <c r="Z227" s="458">
        <f t="shared" si="43"/>
        <v>0</v>
      </c>
      <c r="AA227" s="458">
        <f t="shared" si="43"/>
        <v>0</v>
      </c>
      <c r="AB227" s="459"/>
      <c r="AC227" s="459"/>
      <c r="AD227" s="460">
        <f t="shared" si="40"/>
        <v>40391</v>
      </c>
      <c r="AE227" s="460">
        <f t="shared" si="40"/>
        <v>38018</v>
      </c>
      <c r="AF227" s="460">
        <f t="shared" si="41"/>
        <v>43497</v>
      </c>
      <c r="AG227" s="460">
        <f t="shared" si="42"/>
        <v>43497</v>
      </c>
      <c r="AH227" s="460">
        <f t="shared" si="37"/>
        <v>43497</v>
      </c>
      <c r="AI227" s="458">
        <f t="shared" si="38"/>
        <v>43497</v>
      </c>
    </row>
    <row r="228" spans="1:35" ht="12.75">
      <c r="A228" s="452"/>
      <c r="B228" s="452">
        <f t="shared" si="39"/>
        <v>2</v>
      </c>
      <c r="C228" s="452">
        <f t="shared" si="39"/>
        <v>2</v>
      </c>
      <c r="D228" s="456">
        <f t="shared" si="39"/>
        <v>38018</v>
      </c>
      <c r="E228" s="457">
        <f>V228</f>
        <v>0</v>
      </c>
      <c r="F228" s="458">
        <f t="shared" si="43"/>
        <v>0</v>
      </c>
      <c r="G228" s="458">
        <f t="shared" si="43"/>
        <v>0</v>
      </c>
      <c r="H228" s="458">
        <f t="shared" si="43"/>
        <v>0</v>
      </c>
      <c r="I228" s="458">
        <f t="shared" si="43"/>
        <v>0</v>
      </c>
      <c r="J228" s="458">
        <f t="shared" si="43"/>
        <v>0</v>
      </c>
      <c r="K228" s="458">
        <f t="shared" si="43"/>
        <v>0</v>
      </c>
      <c r="L228" s="458">
        <f t="shared" si="43"/>
        <v>0</v>
      </c>
      <c r="M228" s="458">
        <f t="shared" si="43"/>
        <v>0</v>
      </c>
      <c r="N228" s="458">
        <f t="shared" si="43"/>
        <v>0</v>
      </c>
      <c r="O228" s="458">
        <f t="shared" si="43"/>
        <v>0</v>
      </c>
      <c r="P228" s="458">
        <f t="shared" si="43"/>
        <v>0</v>
      </c>
      <c r="Q228" s="458">
        <f t="shared" si="43"/>
        <v>0</v>
      </c>
      <c r="R228" s="458">
        <f t="shared" si="43"/>
        <v>0</v>
      </c>
      <c r="S228" s="458">
        <f t="shared" si="43"/>
        <v>0</v>
      </c>
      <c r="T228" s="458">
        <f t="shared" si="43"/>
        <v>0</v>
      </c>
      <c r="U228" s="458">
        <f t="shared" si="43"/>
        <v>0</v>
      </c>
      <c r="V228" s="458">
        <f t="shared" si="43"/>
        <v>0</v>
      </c>
      <c r="W228" s="458">
        <f t="shared" si="43"/>
        <v>0</v>
      </c>
      <c r="X228" s="458">
        <f t="shared" si="43"/>
        <v>0</v>
      </c>
      <c r="Y228" s="458">
        <f t="shared" si="43"/>
        <v>0</v>
      </c>
      <c r="Z228" s="458">
        <f t="shared" si="43"/>
        <v>0</v>
      </c>
      <c r="AA228" s="458">
        <f t="shared" si="43"/>
        <v>0</v>
      </c>
      <c r="AB228" s="459"/>
      <c r="AC228" s="459"/>
      <c r="AD228" s="460">
        <f t="shared" si="40"/>
        <v>40391</v>
      </c>
      <c r="AE228" s="460">
        <f t="shared" si="40"/>
        <v>38018</v>
      </c>
      <c r="AF228" s="461">
        <f>35977+0.001</f>
        <v>35977.001</v>
      </c>
      <c r="AG228" s="460">
        <f aca="true" t="shared" si="44" ref="AG228:AH230">AF228</f>
        <v>35977.001</v>
      </c>
      <c r="AH228" s="460">
        <f t="shared" si="44"/>
        <v>35977.001</v>
      </c>
      <c r="AI228" s="458">
        <f t="shared" si="38"/>
        <v>38018</v>
      </c>
    </row>
    <row r="229" spans="1:35" ht="12.75">
      <c r="A229" s="452"/>
      <c r="B229" s="452">
        <f t="shared" si="39"/>
        <v>2</v>
      </c>
      <c r="C229" s="452">
        <f t="shared" si="39"/>
        <v>2</v>
      </c>
      <c r="D229" s="456">
        <f t="shared" si="39"/>
        <v>38018</v>
      </c>
      <c r="E229" s="457">
        <f>W229</f>
        <v>0</v>
      </c>
      <c r="F229" s="458">
        <f t="shared" si="43"/>
        <v>0</v>
      </c>
      <c r="G229" s="458">
        <f t="shared" si="43"/>
        <v>0</v>
      </c>
      <c r="H229" s="458">
        <f t="shared" si="43"/>
        <v>0</v>
      </c>
      <c r="I229" s="458">
        <f t="shared" si="43"/>
        <v>0</v>
      </c>
      <c r="J229" s="458">
        <f t="shared" si="43"/>
        <v>0</v>
      </c>
      <c r="K229" s="458">
        <f t="shared" si="43"/>
        <v>0</v>
      </c>
      <c r="L229" s="458">
        <f t="shared" si="43"/>
        <v>0</v>
      </c>
      <c r="M229" s="458">
        <f t="shared" si="43"/>
        <v>0</v>
      </c>
      <c r="N229" s="458">
        <f t="shared" si="43"/>
        <v>0</v>
      </c>
      <c r="O229" s="458">
        <f t="shared" si="43"/>
        <v>0</v>
      </c>
      <c r="P229" s="458">
        <f t="shared" si="43"/>
        <v>0</v>
      </c>
      <c r="Q229" s="458">
        <f t="shared" si="43"/>
        <v>0</v>
      </c>
      <c r="R229" s="458">
        <f t="shared" si="43"/>
        <v>0</v>
      </c>
      <c r="S229" s="458">
        <f t="shared" si="43"/>
        <v>0</v>
      </c>
      <c r="T229" s="458">
        <f t="shared" si="43"/>
        <v>0</v>
      </c>
      <c r="U229" s="458">
        <f t="shared" si="43"/>
        <v>0</v>
      </c>
      <c r="V229" s="458">
        <f t="shared" si="43"/>
        <v>0</v>
      </c>
      <c r="W229" s="458">
        <f t="shared" si="43"/>
        <v>0</v>
      </c>
      <c r="X229" s="458">
        <f t="shared" si="43"/>
        <v>0</v>
      </c>
      <c r="Y229" s="458">
        <f t="shared" si="43"/>
        <v>0</v>
      </c>
      <c r="Z229" s="458">
        <f t="shared" si="43"/>
        <v>0</v>
      </c>
      <c r="AA229" s="458">
        <f t="shared" si="43"/>
        <v>0</v>
      </c>
      <c r="AB229" s="459"/>
      <c r="AC229" s="459"/>
      <c r="AD229" s="460">
        <f t="shared" si="40"/>
        <v>40391</v>
      </c>
      <c r="AE229" s="460">
        <f t="shared" si="40"/>
        <v>38018</v>
      </c>
      <c r="AF229" s="461">
        <f>37803+0.001</f>
        <v>37803.001</v>
      </c>
      <c r="AG229" s="460">
        <f t="shared" si="44"/>
        <v>37803.001</v>
      </c>
      <c r="AH229" s="460">
        <f t="shared" si="44"/>
        <v>37803.001</v>
      </c>
      <c r="AI229" s="458">
        <f t="shared" si="38"/>
        <v>38018</v>
      </c>
    </row>
    <row r="230" spans="1:35" ht="12.75">
      <c r="A230" s="452"/>
      <c r="B230" s="452">
        <f aca="true" t="shared" si="45" ref="B230:D233">B229</f>
        <v>2</v>
      </c>
      <c r="C230" s="452">
        <f t="shared" si="45"/>
        <v>2</v>
      </c>
      <c r="D230" s="456">
        <f t="shared" si="45"/>
        <v>38018</v>
      </c>
      <c r="E230" s="457">
        <f>X230</f>
        <v>0</v>
      </c>
      <c r="F230" s="458">
        <f t="shared" si="43"/>
        <v>0</v>
      </c>
      <c r="G230" s="458">
        <f t="shared" si="43"/>
        <v>0</v>
      </c>
      <c r="H230" s="458">
        <f t="shared" si="43"/>
        <v>0</v>
      </c>
      <c r="I230" s="458">
        <f t="shared" si="43"/>
        <v>0</v>
      </c>
      <c r="J230" s="458">
        <f t="shared" si="43"/>
        <v>0</v>
      </c>
      <c r="K230" s="458">
        <f t="shared" si="43"/>
        <v>0</v>
      </c>
      <c r="L230" s="458">
        <f t="shared" si="43"/>
        <v>0</v>
      </c>
      <c r="M230" s="458">
        <f t="shared" si="43"/>
        <v>0</v>
      </c>
      <c r="N230" s="458">
        <f t="shared" si="43"/>
        <v>0</v>
      </c>
      <c r="O230" s="458">
        <f t="shared" si="43"/>
        <v>0</v>
      </c>
      <c r="P230" s="458">
        <f t="shared" si="43"/>
        <v>0</v>
      </c>
      <c r="Q230" s="458">
        <f t="shared" si="43"/>
        <v>0</v>
      </c>
      <c r="R230" s="458">
        <f t="shared" si="43"/>
        <v>0</v>
      </c>
      <c r="S230" s="458">
        <f t="shared" si="43"/>
        <v>0</v>
      </c>
      <c r="T230" s="458">
        <f t="shared" si="43"/>
        <v>0</v>
      </c>
      <c r="U230" s="458">
        <f t="shared" si="43"/>
        <v>0</v>
      </c>
      <c r="V230" s="458">
        <f t="shared" si="43"/>
        <v>0</v>
      </c>
      <c r="W230" s="458">
        <f t="shared" si="43"/>
        <v>0</v>
      </c>
      <c r="X230" s="458">
        <f t="shared" si="43"/>
        <v>0</v>
      </c>
      <c r="Y230" s="458">
        <f t="shared" si="43"/>
        <v>0</v>
      </c>
      <c r="Z230" s="458">
        <f t="shared" si="43"/>
        <v>0</v>
      </c>
      <c r="AA230" s="458">
        <f t="shared" si="43"/>
        <v>0</v>
      </c>
      <c r="AB230" s="459"/>
      <c r="AC230" s="459"/>
      <c r="AD230" s="460">
        <f aca="true" t="shared" si="46" ref="AD230:AE232">AD229</f>
        <v>40391</v>
      </c>
      <c r="AE230" s="460">
        <f t="shared" si="46"/>
        <v>38018</v>
      </c>
      <c r="AF230" s="460">
        <f>IF(B203=1,B204,AF231)</f>
        <v>40210</v>
      </c>
      <c r="AG230" s="460">
        <f t="shared" si="44"/>
        <v>40210</v>
      </c>
      <c r="AH230" s="460">
        <f t="shared" si="44"/>
        <v>40210</v>
      </c>
      <c r="AI230" s="458">
        <f t="shared" si="38"/>
        <v>40210</v>
      </c>
    </row>
    <row r="231" spans="1:35" ht="12.75">
      <c r="A231" s="452"/>
      <c r="B231" s="452">
        <f t="shared" si="45"/>
        <v>2</v>
      </c>
      <c r="C231" s="452">
        <f t="shared" si="45"/>
        <v>2</v>
      </c>
      <c r="D231" s="456">
        <f t="shared" si="45"/>
        <v>38018</v>
      </c>
      <c r="E231" s="457">
        <f>Y231</f>
        <v>0</v>
      </c>
      <c r="F231" s="458">
        <f t="shared" si="43"/>
        <v>0</v>
      </c>
      <c r="G231" s="458">
        <f t="shared" si="43"/>
        <v>0</v>
      </c>
      <c r="H231" s="458">
        <f t="shared" si="43"/>
        <v>0</v>
      </c>
      <c r="I231" s="458">
        <f t="shared" si="43"/>
        <v>0</v>
      </c>
      <c r="J231" s="458">
        <f t="shared" si="43"/>
        <v>0</v>
      </c>
      <c r="K231" s="458">
        <f t="shared" si="43"/>
        <v>0</v>
      </c>
      <c r="L231" s="458">
        <f t="shared" si="43"/>
        <v>0</v>
      </c>
      <c r="M231" s="458">
        <f t="shared" si="43"/>
        <v>0</v>
      </c>
      <c r="N231" s="458">
        <f t="shared" si="43"/>
        <v>0</v>
      </c>
      <c r="O231" s="458">
        <f t="shared" si="43"/>
        <v>0</v>
      </c>
      <c r="P231" s="458">
        <f t="shared" si="43"/>
        <v>0</v>
      </c>
      <c r="Q231" s="458">
        <f t="shared" si="43"/>
        <v>0</v>
      </c>
      <c r="R231" s="458">
        <f t="shared" si="43"/>
        <v>0</v>
      </c>
      <c r="S231" s="458">
        <f t="shared" si="43"/>
        <v>0</v>
      </c>
      <c r="T231" s="458">
        <f t="shared" si="43"/>
        <v>0</v>
      </c>
      <c r="U231" s="458">
        <f t="shared" si="43"/>
        <v>0</v>
      </c>
      <c r="V231" s="458">
        <f t="shared" si="43"/>
        <v>0</v>
      </c>
      <c r="W231" s="458">
        <f t="shared" si="43"/>
        <v>0</v>
      </c>
      <c r="X231" s="458">
        <f t="shared" si="43"/>
        <v>0</v>
      </c>
      <c r="Y231" s="458">
        <f t="shared" si="43"/>
        <v>0</v>
      </c>
      <c r="Z231" s="458">
        <f t="shared" si="43"/>
        <v>0</v>
      </c>
      <c r="AA231" s="458">
        <f t="shared" si="43"/>
        <v>0</v>
      </c>
      <c r="AB231" s="459"/>
      <c r="AC231" s="459"/>
      <c r="AD231" s="460">
        <f t="shared" si="46"/>
        <v>40391</v>
      </c>
      <c r="AE231" s="460">
        <f t="shared" si="46"/>
        <v>38018</v>
      </c>
      <c r="AF231" s="460">
        <f>DATE(YEAR(B202)+8,MONTH(B202),DAY(B202))</f>
        <v>40210</v>
      </c>
      <c r="AG231" s="460">
        <f>IF(AF231&lt;AF230,AF231,AF230)</f>
        <v>40210</v>
      </c>
      <c r="AH231" s="460">
        <f>AG231</f>
        <v>40210</v>
      </c>
      <c r="AI231" s="458">
        <f t="shared" si="38"/>
        <v>40210</v>
      </c>
    </row>
    <row r="232" spans="1:35" ht="12.75">
      <c r="A232" s="452"/>
      <c r="B232" s="452">
        <f t="shared" si="45"/>
        <v>2</v>
      </c>
      <c r="C232" s="452">
        <f t="shared" si="45"/>
        <v>2</v>
      </c>
      <c r="D232" s="456">
        <f t="shared" si="45"/>
        <v>38018</v>
      </c>
      <c r="E232" s="457">
        <f>Z232</f>
        <v>0</v>
      </c>
      <c r="F232" s="458">
        <f t="shared" si="43"/>
        <v>0</v>
      </c>
      <c r="G232" s="458">
        <f t="shared" si="43"/>
        <v>0</v>
      </c>
      <c r="H232" s="458">
        <f t="shared" si="43"/>
        <v>0</v>
      </c>
      <c r="I232" s="458">
        <f t="shared" si="43"/>
        <v>0</v>
      </c>
      <c r="J232" s="458">
        <f t="shared" si="43"/>
        <v>0</v>
      </c>
      <c r="K232" s="458">
        <f t="shared" si="43"/>
        <v>0</v>
      </c>
      <c r="L232" s="458">
        <f t="shared" si="43"/>
        <v>0</v>
      </c>
      <c r="M232" s="458">
        <f t="shared" si="43"/>
        <v>0</v>
      </c>
      <c r="N232" s="458">
        <f t="shared" si="43"/>
        <v>0</v>
      </c>
      <c r="O232" s="458">
        <f t="shared" si="43"/>
        <v>0</v>
      </c>
      <c r="P232" s="458">
        <f t="shared" si="43"/>
        <v>0</v>
      </c>
      <c r="Q232" s="458">
        <f t="shared" si="43"/>
        <v>0</v>
      </c>
      <c r="R232" s="458">
        <f t="shared" si="43"/>
        <v>0</v>
      </c>
      <c r="S232" s="458">
        <f t="shared" si="43"/>
        <v>0</v>
      </c>
      <c r="T232" s="458">
        <f t="shared" si="43"/>
        <v>0</v>
      </c>
      <c r="U232" s="458">
        <f t="shared" si="43"/>
        <v>0</v>
      </c>
      <c r="V232" s="458">
        <f t="shared" si="43"/>
        <v>0</v>
      </c>
      <c r="W232" s="458">
        <f t="shared" si="43"/>
        <v>0</v>
      </c>
      <c r="X232" s="458">
        <f t="shared" si="43"/>
        <v>0</v>
      </c>
      <c r="Y232" s="458">
        <f t="shared" si="43"/>
        <v>0</v>
      </c>
      <c r="Z232" s="458">
        <f t="shared" si="43"/>
        <v>0</v>
      </c>
      <c r="AA232" s="458">
        <f t="shared" si="43"/>
        <v>0</v>
      </c>
      <c r="AB232" s="459"/>
      <c r="AC232" s="459"/>
      <c r="AD232" s="460">
        <f t="shared" si="46"/>
        <v>40391</v>
      </c>
      <c r="AE232" s="460">
        <f t="shared" si="46"/>
        <v>38018</v>
      </c>
      <c r="AF232" s="460">
        <f>AF233</f>
        <v>43132.01</v>
      </c>
      <c r="AG232" s="460">
        <f>AF232</f>
        <v>43132.01</v>
      </c>
      <c r="AH232" s="460">
        <f>AG232</f>
        <v>43132.01</v>
      </c>
      <c r="AI232" s="458">
        <f t="shared" si="38"/>
        <v>43132.01</v>
      </c>
    </row>
    <row r="233" spans="1:35" ht="12.75">
      <c r="A233" s="452"/>
      <c r="B233" s="452">
        <f t="shared" si="45"/>
        <v>2</v>
      </c>
      <c r="C233" s="452">
        <f t="shared" si="45"/>
        <v>2</v>
      </c>
      <c r="D233" s="456">
        <f>D232</f>
        <v>38018</v>
      </c>
      <c r="E233" s="457">
        <f>AA233</f>
        <v>0</v>
      </c>
      <c r="F233" s="458">
        <f t="shared" si="43"/>
        <v>0</v>
      </c>
      <c r="G233" s="458">
        <f t="shared" si="43"/>
        <v>0</v>
      </c>
      <c r="H233" s="458">
        <f t="shared" si="43"/>
        <v>0</v>
      </c>
      <c r="I233" s="458">
        <f t="shared" si="43"/>
        <v>0</v>
      </c>
      <c r="J233" s="458">
        <f t="shared" si="43"/>
        <v>0</v>
      </c>
      <c r="K233" s="458">
        <f t="shared" si="43"/>
        <v>0</v>
      </c>
      <c r="L233" s="458">
        <f t="shared" si="43"/>
        <v>0</v>
      </c>
      <c r="M233" s="458">
        <f t="shared" si="43"/>
        <v>0</v>
      </c>
      <c r="N233" s="458">
        <f t="shared" si="43"/>
        <v>0</v>
      </c>
      <c r="O233" s="458">
        <f t="shared" si="43"/>
        <v>0</v>
      </c>
      <c r="P233" s="458">
        <f t="shared" si="43"/>
        <v>0</v>
      </c>
      <c r="Q233" s="458">
        <f t="shared" si="43"/>
        <v>0</v>
      </c>
      <c r="R233" s="458">
        <f t="shared" si="43"/>
        <v>0</v>
      </c>
      <c r="S233" s="458">
        <f t="shared" si="43"/>
        <v>0</v>
      </c>
      <c r="T233" s="458">
        <f t="shared" si="43"/>
        <v>0</v>
      </c>
      <c r="U233" s="458">
        <f t="shared" si="43"/>
        <v>0</v>
      </c>
      <c r="V233" s="458">
        <f t="shared" si="43"/>
        <v>0</v>
      </c>
      <c r="W233" s="458">
        <f t="shared" si="43"/>
        <v>0</v>
      </c>
      <c r="X233" s="458">
        <f t="shared" si="43"/>
        <v>0</v>
      </c>
      <c r="Y233" s="458">
        <f t="shared" si="43"/>
        <v>0</v>
      </c>
      <c r="Z233" s="458">
        <f t="shared" si="43"/>
        <v>0</v>
      </c>
      <c r="AA233" s="458">
        <f t="shared" si="43"/>
        <v>0</v>
      </c>
      <c r="AB233" s="459"/>
      <c r="AC233" s="459"/>
      <c r="AD233" s="460">
        <f>AD232</f>
        <v>40391</v>
      </c>
      <c r="AE233" s="460">
        <f>AE232</f>
        <v>38018</v>
      </c>
      <c r="AF233" s="460">
        <f>DATE(YEAR(AF230)+8,MONTH(AF230),DAY(AF230))+0.01</f>
        <v>43132.01</v>
      </c>
      <c r="AG233" s="460">
        <f>AF233</f>
        <v>43132.01</v>
      </c>
      <c r="AH233" s="460">
        <f>AG233</f>
        <v>43132.01</v>
      </c>
      <c r="AI233" s="458">
        <f t="shared" si="38"/>
        <v>43132.01</v>
      </c>
    </row>
    <row r="234" spans="1:35" ht="12.75">
      <c r="A234" s="452"/>
      <c r="B234" s="452"/>
      <c r="C234" s="452"/>
      <c r="D234" s="452"/>
      <c r="E234" s="452"/>
      <c r="F234" s="452"/>
      <c r="G234" s="452"/>
      <c r="H234" s="452"/>
      <c r="I234" s="452"/>
      <c r="J234" s="452"/>
      <c r="K234" s="452"/>
      <c r="L234" s="452"/>
      <c r="M234" s="452"/>
      <c r="N234" s="452"/>
      <c r="O234" s="452"/>
      <c r="P234" s="452"/>
      <c r="Q234" s="452"/>
      <c r="R234" s="452"/>
      <c r="S234" s="452"/>
      <c r="T234" s="452"/>
      <c r="U234" s="452"/>
      <c r="V234" s="452"/>
      <c r="W234" s="452"/>
      <c r="X234" s="452"/>
      <c r="Y234" s="452"/>
      <c r="Z234" s="452"/>
      <c r="AA234" s="452"/>
      <c r="AB234" s="452"/>
      <c r="AC234" s="452"/>
      <c r="AD234" s="452"/>
      <c r="AE234" s="452"/>
      <c r="AF234" s="452"/>
      <c r="AG234" s="452"/>
      <c r="AH234" s="452"/>
      <c r="AI234" s="452"/>
    </row>
    <row r="235" spans="1:35" ht="12.75">
      <c r="A235" s="452" t="s">
        <v>471</v>
      </c>
      <c r="B235" s="452"/>
      <c r="C235" s="452" t="s">
        <v>472</v>
      </c>
      <c r="D235" s="452" t="s">
        <v>473</v>
      </c>
      <c r="E235" s="452"/>
      <c r="F235" s="452" t="s">
        <v>474</v>
      </c>
      <c r="G235" s="452"/>
      <c r="H235" s="452"/>
      <c r="I235" s="452"/>
      <c r="J235" s="452"/>
      <c r="K235" s="452"/>
      <c r="L235" s="452"/>
      <c r="M235" s="452"/>
      <c r="N235" s="452"/>
      <c r="O235" s="452"/>
      <c r="P235" s="452"/>
      <c r="Q235" s="452"/>
      <c r="R235" s="452"/>
      <c r="S235" s="452"/>
      <c r="T235" s="452"/>
      <c r="U235" s="452"/>
      <c r="V235" s="452"/>
      <c r="W235" s="452"/>
      <c r="X235" s="452"/>
      <c r="Y235" s="452"/>
      <c r="Z235" s="452"/>
      <c r="AA235" s="452"/>
      <c r="AB235" s="452"/>
      <c r="AC235" s="452"/>
      <c r="AD235" s="452"/>
      <c r="AE235" s="452"/>
      <c r="AF235" s="452"/>
      <c r="AG235" s="452"/>
      <c r="AH235" s="452"/>
      <c r="AI235" s="452"/>
    </row>
    <row r="236" spans="1:35" ht="12.75">
      <c r="A236" s="452"/>
      <c r="B236" s="457">
        <f>E212</f>
        <v>0</v>
      </c>
      <c r="C236" s="452">
        <f>IF(B236&lt;B207,IF(B201=1,1975,2525),IF(AND(B236&gt;=B207,B236&lt;B208),IF(B201=1,3750,4850),IF(B201=1,5470,7200)))</f>
        <v>1975</v>
      </c>
      <c r="D236" s="452">
        <f>IF(B236&lt;B207,IF(B201=1,2075,2675),IF(AND(B236&gt;=B207,B236&lt;B208),IF(B201=1,3950,5150),IF(B201=1,5750,7570)))</f>
        <v>2075</v>
      </c>
      <c r="E236" s="452"/>
      <c r="F236" s="452">
        <f>IF(B201=1,IF(B204&lt;B208,4850,7200),IF(B204&lt;B208,5980,9285))</f>
        <v>7200</v>
      </c>
      <c r="G236" s="452"/>
      <c r="H236" s="452"/>
      <c r="I236" s="452"/>
      <c r="J236" s="452"/>
      <c r="K236" s="452"/>
      <c r="L236" s="452"/>
      <c r="M236" s="452"/>
      <c r="N236" s="452"/>
      <c r="O236" s="452"/>
      <c r="P236" s="452"/>
      <c r="Q236" s="452"/>
      <c r="R236" s="452"/>
      <c r="S236" s="452"/>
      <c r="T236" s="452"/>
      <c r="U236" s="452"/>
      <c r="V236" s="452"/>
      <c r="W236" s="452"/>
      <c r="X236" s="452"/>
      <c r="Y236" s="452"/>
      <c r="Z236" s="452"/>
      <c r="AA236" s="452"/>
      <c r="AB236" s="452"/>
      <c r="AC236" s="452"/>
      <c r="AD236" s="452"/>
      <c r="AE236" s="452"/>
      <c r="AF236" s="452"/>
      <c r="AG236" s="452"/>
      <c r="AH236" s="452"/>
      <c r="AI236" s="452"/>
    </row>
    <row r="237" spans="1:35" ht="12.75">
      <c r="A237" s="452"/>
      <c r="B237" s="452"/>
      <c r="C237" s="452"/>
      <c r="D237" s="452"/>
      <c r="E237" s="452"/>
      <c r="F237" s="452"/>
      <c r="G237" s="452"/>
      <c r="H237" s="452"/>
      <c r="I237" s="452"/>
      <c r="J237" s="452"/>
      <c r="K237" s="452"/>
      <c r="L237" s="452"/>
      <c r="M237" s="452"/>
      <c r="N237" s="452"/>
      <c r="O237" s="452"/>
      <c r="P237" s="452"/>
      <c r="Q237" s="452"/>
      <c r="R237" s="452"/>
      <c r="S237" s="452"/>
      <c r="T237" s="452"/>
      <c r="U237" s="452"/>
      <c r="V237" s="452"/>
      <c r="W237" s="452"/>
      <c r="X237" s="452"/>
      <c r="Y237" s="452"/>
      <c r="Z237" s="452"/>
      <c r="AA237" s="452"/>
      <c r="AB237" s="452"/>
      <c r="AC237" s="452"/>
      <c r="AD237" s="452"/>
      <c r="AE237" s="452"/>
      <c r="AF237" s="452"/>
      <c r="AG237" s="452"/>
      <c r="AH237" s="452"/>
      <c r="AI237" s="452"/>
    </row>
    <row r="238" spans="1:35" ht="38.25">
      <c r="A238" s="452"/>
      <c r="B238" s="452"/>
      <c r="C238" s="452"/>
      <c r="D238" s="452"/>
      <c r="E238" s="462" t="s">
        <v>475</v>
      </c>
      <c r="F238" s="592" t="s">
        <v>476</v>
      </c>
      <c r="G238" s="592"/>
      <c r="H238" s="592"/>
      <c r="I238" s="592"/>
      <c r="J238" s="462" t="s">
        <v>477</v>
      </c>
      <c r="K238" s="462"/>
      <c r="L238" s="462"/>
      <c r="M238" s="462"/>
      <c r="N238" s="463"/>
      <c r="O238" s="452"/>
      <c r="P238" s="452"/>
      <c r="Q238" s="452"/>
      <c r="R238" s="463" t="s">
        <v>475</v>
      </c>
      <c r="S238" s="463" t="s">
        <v>476</v>
      </c>
      <c r="T238" s="463" t="s">
        <v>477</v>
      </c>
      <c r="U238" s="463" t="s">
        <v>478</v>
      </c>
      <c r="V238" s="463" t="s">
        <v>479</v>
      </c>
      <c r="W238" s="462" t="s">
        <v>480</v>
      </c>
      <c r="X238" s="462" t="s">
        <v>481</v>
      </c>
      <c r="Y238" s="464" t="s">
        <v>482</v>
      </c>
      <c r="Z238" s="463" t="s">
        <v>483</v>
      </c>
      <c r="AA238" s="463" t="s">
        <v>484</v>
      </c>
      <c r="AB238" s="463" t="s">
        <v>485</v>
      </c>
      <c r="AC238" s="463" t="s">
        <v>486</v>
      </c>
      <c r="AD238" s="463" t="s">
        <v>487</v>
      </c>
      <c r="AE238" s="452"/>
      <c r="AF238" s="452"/>
      <c r="AG238" s="452"/>
      <c r="AH238" s="452"/>
      <c r="AI238" s="452"/>
    </row>
    <row r="239" spans="1:35" ht="51">
      <c r="A239" s="452" t="s">
        <v>488</v>
      </c>
      <c r="B239" s="452" t="s">
        <v>489</v>
      </c>
      <c r="C239" s="452" t="s">
        <v>472</v>
      </c>
      <c r="D239" s="452"/>
      <c r="E239" s="462" t="s">
        <v>490</v>
      </c>
      <c r="F239" s="464" t="s">
        <v>491</v>
      </c>
      <c r="G239" s="464" t="s">
        <v>490</v>
      </c>
      <c r="H239" s="464" t="s">
        <v>492</v>
      </c>
      <c r="I239" s="464" t="s">
        <v>493</v>
      </c>
      <c r="J239" s="464" t="s">
        <v>491</v>
      </c>
      <c r="K239" s="464" t="s">
        <v>494</v>
      </c>
      <c r="L239" s="464" t="s">
        <v>490</v>
      </c>
      <c r="M239" s="464" t="s">
        <v>492</v>
      </c>
      <c r="N239" s="464" t="s">
        <v>493</v>
      </c>
      <c r="O239" s="452"/>
      <c r="P239" s="452"/>
      <c r="Q239" s="452"/>
      <c r="R239" s="463">
        <v>0</v>
      </c>
      <c r="S239" s="463">
        <v>0</v>
      </c>
      <c r="T239" s="463">
        <v>0</v>
      </c>
      <c r="U239" s="463">
        <v>0</v>
      </c>
      <c r="V239" s="463">
        <v>0</v>
      </c>
      <c r="W239" s="462">
        <v>0</v>
      </c>
      <c r="X239" s="462">
        <v>0</v>
      </c>
      <c r="Y239" s="464">
        <v>0</v>
      </c>
      <c r="Z239" s="463">
        <v>0</v>
      </c>
      <c r="AA239" s="463">
        <v>0</v>
      </c>
      <c r="AB239" s="463">
        <v>0</v>
      </c>
      <c r="AC239" s="463">
        <v>0</v>
      </c>
      <c r="AD239" s="463">
        <v>0</v>
      </c>
      <c r="AE239" s="463">
        <v>0</v>
      </c>
      <c r="AF239" s="452"/>
      <c r="AG239" s="452"/>
      <c r="AH239" s="452"/>
      <c r="AI239" s="452"/>
    </row>
    <row r="240" spans="1:35" ht="12.75">
      <c r="A240" s="452"/>
      <c r="B240" s="456">
        <f>E212</f>
        <v>0</v>
      </c>
      <c r="C240" s="452">
        <f>D236</f>
        <v>2075</v>
      </c>
      <c r="D240" s="452"/>
      <c r="E240" s="465"/>
      <c r="F240" s="465"/>
      <c r="G240" s="465"/>
      <c r="H240" s="465"/>
      <c r="I240" s="465"/>
      <c r="J240" s="465"/>
      <c r="K240" s="465"/>
      <c r="L240" s="465"/>
      <c r="M240" s="465"/>
      <c r="N240" s="452"/>
      <c r="O240" s="452"/>
      <c r="P240" s="452"/>
      <c r="Q240" s="452">
        <v>1</v>
      </c>
      <c r="R240" s="452">
        <v>1975</v>
      </c>
      <c r="S240" s="452">
        <v>3750</v>
      </c>
      <c r="T240" s="452">
        <v>5470</v>
      </c>
      <c r="U240" s="452">
        <v>2025</v>
      </c>
      <c r="V240" s="452">
        <v>3850</v>
      </c>
      <c r="W240" s="452">
        <v>5605</v>
      </c>
      <c r="X240" s="452">
        <v>3772.5</v>
      </c>
      <c r="Y240" s="452">
        <v>3850</v>
      </c>
      <c r="Z240" s="452">
        <v>5484.98</v>
      </c>
      <c r="AA240" s="452">
        <v>5605</v>
      </c>
      <c r="AB240" s="452">
        <v>2075</v>
      </c>
      <c r="AC240" s="452">
        <v>3950</v>
      </c>
      <c r="AD240" s="452">
        <v>5750</v>
      </c>
      <c r="AE240" s="452">
        <v>1</v>
      </c>
      <c r="AF240" s="452">
        <v>1</v>
      </c>
      <c r="AG240" s="452">
        <v>2525</v>
      </c>
      <c r="AH240" s="452">
        <v>4850</v>
      </c>
      <c r="AI240" s="452">
        <v>7200</v>
      </c>
    </row>
    <row r="241" spans="1:35" ht="12.75">
      <c r="A241" s="452"/>
      <c r="B241" s="456">
        <f aca="true" t="shared" si="47" ref="B241:B262">IF(E213=0,B240,E213)</f>
        <v>0</v>
      </c>
      <c r="C241" s="452">
        <f>IF(B240=B241,0,MAX(E241:N241))</f>
        <v>0</v>
      </c>
      <c r="D241" s="452" t="str">
        <f>IF(B241=35977.001,C240,IF(B241=37803.001,IF(VLOOKUP(C240,S239:AE268,13,TRUE)=1,C240," ")," "))</f>
        <v> </v>
      </c>
      <c r="E241" s="465">
        <f>IF(B241&lt;35977.001,VLOOKUP(C240,R239:U265,4,TRUE),0)</f>
        <v>2135</v>
      </c>
      <c r="F241" s="465">
        <f>IF(B241=35977.001,VLOOKUP(C240,R239:Y265,8,TRUE),0)</f>
        <v>0</v>
      </c>
      <c r="G241" s="465">
        <f>IF(AND(B241&gt;35977.001,B241&lt;37803.001),VLOOKUP(C240,S239:V265,4,TRUE),0)</f>
        <v>0</v>
      </c>
      <c r="H241" s="465">
        <f>IF(AND(B212=1,B241=BG212,B241&gt;35977.001,B241&lt;37803.001),BH212,0)</f>
        <v>0</v>
      </c>
      <c r="I241" s="465"/>
      <c r="J241" s="465">
        <f>IF(B241=37803.001,IF(AND(B242&lt;&gt;AK94,B242&lt;&gt;AL94,B242&lt;38169,VLOOKUP(C240,S239:AE265,13,TRUE)=2),C240,VLOOKUP(C240,S239:AA265,9,TRUE)),0)</f>
        <v>0</v>
      </c>
      <c r="K241" s="465"/>
      <c r="L241" s="465">
        <f>IF(B241&gt;37803.001,VLOOKUP(C240,T239:W268,4,TRUE),0)</f>
        <v>0</v>
      </c>
      <c r="M241" s="465">
        <f>IF(AND(B241=BG212,B212=1,C212=1),MAX(BH212,VLOOKUP(C240,T239:AD268,11,TRUE)),0)</f>
        <v>0</v>
      </c>
      <c r="N241" s="452">
        <f>IF(AND(B240=BG212,B212=1,C212=2,B241&gt;37803.001),VLOOKUP(C240,T239:AD268,11,TRUE),0)</f>
        <v>0</v>
      </c>
      <c r="O241" s="452"/>
      <c r="P241" s="452"/>
      <c r="Q241" s="452">
        <v>2</v>
      </c>
      <c r="R241" s="452">
        <v>2025</v>
      </c>
      <c r="S241" s="452">
        <v>3850</v>
      </c>
      <c r="T241" s="452">
        <v>5605</v>
      </c>
      <c r="U241" s="452">
        <v>2075</v>
      </c>
      <c r="V241" s="452">
        <v>3950</v>
      </c>
      <c r="W241" s="452">
        <v>5750</v>
      </c>
      <c r="X241" s="452">
        <v>3867.5</v>
      </c>
      <c r="Y241" s="452">
        <v>3950</v>
      </c>
      <c r="Z241" s="452">
        <v>5631.24</v>
      </c>
      <c r="AA241" s="452">
        <v>5750</v>
      </c>
      <c r="AB241" s="452">
        <v>2135</v>
      </c>
      <c r="AC241" s="452">
        <v>4070</v>
      </c>
      <c r="AD241" s="452">
        <v>5895</v>
      </c>
      <c r="AE241" s="452">
        <v>1</v>
      </c>
      <c r="AF241" s="452">
        <v>2</v>
      </c>
      <c r="AG241" s="452">
        <v>3450</v>
      </c>
      <c r="AH241" s="452">
        <v>5980</v>
      </c>
      <c r="AI241" s="452">
        <v>9285</v>
      </c>
    </row>
    <row r="242" spans="1:35" ht="12.75">
      <c r="A242" s="452"/>
      <c r="B242" s="456">
        <f t="shared" si="47"/>
        <v>0</v>
      </c>
      <c r="C242" s="452">
        <f aca="true" t="shared" si="48" ref="C242:C262">IF(B241=B242,0,MAX(E242:N242))</f>
        <v>0</v>
      </c>
      <c r="D242" s="452" t="str">
        <f>IF(B242=35977.001,C241,IF(AND(B242=37803.001,VLOOKUP(C241,S239:AE268,13,TRUE)=1),C241,IF(AND(B241=37803.001,VLOOKUP(C240,S239:AE268,13,TRUE)=2),C240," ")))</f>
        <v> </v>
      </c>
      <c r="E242" s="465">
        <f>IF(B242&lt;35977.001,VLOOKUP(C241,R239:U265,4,TRUE),0)</f>
        <v>0</v>
      </c>
      <c r="F242" s="465">
        <f>IF(B242=35977.001,VLOOKUP(C241,R239:Y265,8,TRUE),0)</f>
        <v>0</v>
      </c>
      <c r="G242" s="465">
        <f aca="true" t="shared" si="49" ref="G242:G262">IF(AND(B242&gt;35977.001,B242&lt;37803.001),VLOOKUP(C241,S240:V266,4,TRUE),0)</f>
        <v>0</v>
      </c>
      <c r="H242" s="465">
        <f aca="true" t="shared" si="50" ref="H242:H262">IF(AND(B213=1,B242=BG213,B242&gt;35977.001,B242&lt;37803.001),BH213,0)</f>
        <v>0</v>
      </c>
      <c r="I242" s="465"/>
      <c r="J242" s="465">
        <f>IF(B242=37803.001,IF(AND(B243&lt;&gt;AK94,B243&lt;&gt;AL94,B243&lt;38169,VLOOKUP(C241,S239:AE265,13,TRUE)=2),C241,VLOOKUP(C241,S239:AA265,9,TRUE)),0)</f>
        <v>0</v>
      </c>
      <c r="K242" s="465">
        <f>IF(AND(B241=37803.001,J241=C240),VLOOKUP(VLOOKUP(C241,S239:V265,4,TRUE),S239:AA265,9,TRUE),0)</f>
        <v>0</v>
      </c>
      <c r="L242" s="465">
        <f>IF(B242&gt;37803.001,VLOOKUP(C241,T239:W268,4,TRUE),0)</f>
        <v>0</v>
      </c>
      <c r="M242" s="465">
        <f>IF(AND(B242=BG213,B213=1,C213=1),MAX(BH213,VLOOKUP(C241,T239:AD268,11,TRUE)),0)</f>
        <v>0</v>
      </c>
      <c r="N242" s="452">
        <f>IF(AND(B241=BG213,B213=1,C213=2,B242&gt;37803.001),VLOOKUP(C241,T239:AD268,11,TRUE),0)</f>
        <v>0</v>
      </c>
      <c r="O242" s="452"/>
      <c r="P242" s="452"/>
      <c r="Q242" s="452">
        <v>3</v>
      </c>
      <c r="R242" s="452">
        <v>2075</v>
      </c>
      <c r="S242" s="452">
        <v>3950</v>
      </c>
      <c r="T242" s="452">
        <v>5750</v>
      </c>
      <c r="U242" s="452">
        <v>2135</v>
      </c>
      <c r="V242" s="452">
        <v>4070</v>
      </c>
      <c r="W242" s="452">
        <v>5895</v>
      </c>
      <c r="X242" s="452">
        <v>3963.5</v>
      </c>
      <c r="Y242" s="452">
        <v>4070</v>
      </c>
      <c r="Z242" s="452">
        <v>5777.51</v>
      </c>
      <c r="AA242" s="452">
        <v>5895</v>
      </c>
      <c r="AB242" s="452">
        <v>2195</v>
      </c>
      <c r="AC242" s="452">
        <v>4190</v>
      </c>
      <c r="AD242" s="452">
        <v>6040</v>
      </c>
      <c r="AE242" s="452">
        <v>1</v>
      </c>
      <c r="AF242" s="452"/>
      <c r="AG242" s="452"/>
      <c r="AH242" s="452"/>
      <c r="AI242" s="452"/>
    </row>
    <row r="243" spans="1:35" ht="12.75">
      <c r="A243" s="452"/>
      <c r="B243" s="456">
        <f t="shared" si="47"/>
        <v>0</v>
      </c>
      <c r="C243" s="452">
        <f t="shared" si="48"/>
        <v>0</v>
      </c>
      <c r="D243" s="452" t="str">
        <f>IF(B243=35977.001,C242,IF(AND(B243=37803.001,VLOOKUP(C242,S239:AE268,13,TRUE)=1),C242,IF(AND(B242=37803.001,VLOOKUP(C241,S239:AE268,13,TRUE)=2),C241," ")))</f>
        <v> </v>
      </c>
      <c r="E243" s="465">
        <f>IF(B243&lt;35977.001,VLOOKUP(C242,R239:U265,4,TRUE),0)</f>
        <v>0</v>
      </c>
      <c r="F243" s="465">
        <f>IF(B243=35977.001,VLOOKUP(C242,R239:Y265,8,TRUE),0)</f>
        <v>0</v>
      </c>
      <c r="G243" s="465">
        <f t="shared" si="49"/>
        <v>0</v>
      </c>
      <c r="H243" s="465">
        <f t="shared" si="50"/>
        <v>0</v>
      </c>
      <c r="I243" s="465"/>
      <c r="J243" s="465">
        <f>IF(B243=37803.001,IF(AND(B244&lt;&gt;AK94,B244&lt;&gt;AL94,B244&lt;38169,VLOOKUP(C242,S239:AE265,13,TRUE)=2),C242,VLOOKUP(C242,S239:AA265,9,TRUE)),0)</f>
        <v>0</v>
      </c>
      <c r="K243" s="465">
        <f>IF(AND(B242=37803.001,J242=C241),VLOOKUP(VLOOKUP(C242,S239:V265,4,TRUE),S239:AA265,9,TRUE),0)</f>
        <v>0</v>
      </c>
      <c r="L243" s="465">
        <f>IF(B243&gt;37803.001,VLOOKUP(C242,T239:W268,4,TRUE),0)</f>
        <v>0</v>
      </c>
      <c r="M243" s="465">
        <f>IF(AND(B243=BG214,B214=1,C214=1),MAX(BH214,VLOOKUP(C242,T239:AD268,11,TRUE)),0)</f>
        <v>0</v>
      </c>
      <c r="N243" s="452">
        <f>IF(AND(B242=BG214,B214=1,C214=2,B243&gt;37803.001),VLOOKUP(C242,T239:AD268,11,TRUE),0)</f>
        <v>0</v>
      </c>
      <c r="O243" s="452"/>
      <c r="P243" s="452"/>
      <c r="Q243" s="452">
        <v>4</v>
      </c>
      <c r="R243" s="452">
        <v>2135</v>
      </c>
      <c r="S243" s="452">
        <v>4070</v>
      </c>
      <c r="T243" s="452">
        <v>5895</v>
      </c>
      <c r="U243" s="452">
        <v>2195</v>
      </c>
      <c r="V243" s="452">
        <v>4190</v>
      </c>
      <c r="W243" s="452">
        <v>6040</v>
      </c>
      <c r="X243" s="452">
        <v>4078.1</v>
      </c>
      <c r="Y243" s="452">
        <v>4190</v>
      </c>
      <c r="Z243" s="452">
        <v>5952.83</v>
      </c>
      <c r="AA243" s="452">
        <v>6040</v>
      </c>
      <c r="AB243" s="452">
        <v>2255</v>
      </c>
      <c r="AC243" s="452">
        <v>4310</v>
      </c>
      <c r="AD243" s="452">
        <v>6195</v>
      </c>
      <c r="AE243" s="452">
        <v>1</v>
      </c>
      <c r="AF243" s="452"/>
      <c r="AG243" s="452"/>
      <c r="AH243" s="452"/>
      <c r="AI243" s="452"/>
    </row>
    <row r="244" spans="1:35" ht="12.75">
      <c r="A244" s="452"/>
      <c r="B244" s="456">
        <f t="shared" si="47"/>
        <v>0</v>
      </c>
      <c r="C244" s="452">
        <f t="shared" si="48"/>
        <v>0</v>
      </c>
      <c r="D244" s="452" t="str">
        <f>IF(B244=35977.001,C243,IF(AND(B244=37803.001,VLOOKUP(C243,S239:AE268,13,TRUE)=1),C243,IF(AND(B243=37803.001,VLOOKUP(C242,S239:AE268,13,TRUE)=2),C242," ")))</f>
        <v> </v>
      </c>
      <c r="E244" s="465">
        <v>0</v>
      </c>
      <c r="F244" s="465">
        <f>IF(B244=35977.001,VLOOKUP(C243,R239:Y265,8,TRUE),0)</f>
        <v>0</v>
      </c>
      <c r="G244" s="465">
        <f t="shared" si="49"/>
        <v>0</v>
      </c>
      <c r="H244" s="465">
        <f t="shared" si="50"/>
        <v>0</v>
      </c>
      <c r="I244" s="465"/>
      <c r="J244" s="465">
        <f>IF(B244=37803.001,IF(AND(B245&lt;&gt;AK94,B245&lt;&gt;AL94,B245&lt;38169,VLOOKUP(C243,S239:AE265,13,TRUE)=2),C243,VLOOKUP(C243,S239:AA265,9,TRUE)),0)</f>
        <v>0</v>
      </c>
      <c r="K244" s="465">
        <f>IF(AND(B243=37803.001,J243=C242),VLOOKUP(VLOOKUP(C243,S239:V265,4,TRUE),S239:AA265,9,TRUE),0)</f>
        <v>0</v>
      </c>
      <c r="L244" s="465">
        <f>IF(B244&gt;37803.001,VLOOKUP(C243,T239:W268,4,TRUE),0)</f>
        <v>0</v>
      </c>
      <c r="M244" s="465">
        <f>IF(AND(B244=BG215,B215=1,C215=1),MAX(BH215,VLOOKUP(C243,T239:AD268,11,TRUE)),0)</f>
        <v>0</v>
      </c>
      <c r="N244" s="452">
        <f>IF(AND(B243=BG215,B215=1,C215=2,B244&gt;37803.001),VLOOKUP(C243,T239:AD268,11,TRUE),0)</f>
        <v>0</v>
      </c>
      <c r="O244" s="452"/>
      <c r="P244" s="452"/>
      <c r="Q244" s="452">
        <v>5</v>
      </c>
      <c r="R244" s="452">
        <v>2195</v>
      </c>
      <c r="S244" s="452">
        <v>4190</v>
      </c>
      <c r="T244" s="452">
        <v>6040</v>
      </c>
      <c r="U244" s="452">
        <v>2255</v>
      </c>
      <c r="V244" s="452">
        <v>4310</v>
      </c>
      <c r="W244" s="452">
        <v>6195</v>
      </c>
      <c r="X244" s="452">
        <v>4192.7</v>
      </c>
      <c r="Y244" s="452">
        <v>4310</v>
      </c>
      <c r="Z244" s="452">
        <v>6128.15</v>
      </c>
      <c r="AA244" s="452">
        <v>6195</v>
      </c>
      <c r="AB244" s="452">
        <v>2315</v>
      </c>
      <c r="AC244" s="452">
        <v>4430</v>
      </c>
      <c r="AD244" s="452">
        <v>6350</v>
      </c>
      <c r="AE244" s="452">
        <v>1</v>
      </c>
      <c r="AF244" s="452"/>
      <c r="AG244" s="452"/>
      <c r="AH244" s="452"/>
      <c r="AI244" s="452"/>
    </row>
    <row r="245" spans="1:35" ht="12.75">
      <c r="A245" s="452"/>
      <c r="B245" s="456">
        <f t="shared" si="47"/>
        <v>0</v>
      </c>
      <c r="C245" s="452">
        <f t="shared" si="48"/>
        <v>0</v>
      </c>
      <c r="D245" s="452" t="str">
        <f>IF(B245=35977.001,C244,IF(AND(B245=37803.001,VLOOKUP(C244,S239:AE268,13,TRUE)=1),C244,IF(AND(B244=37803.001,VLOOKUP(C243,S239:AE268,13,TRUE)=2),C243," ")))</f>
        <v> </v>
      </c>
      <c r="E245" s="465">
        <v>0</v>
      </c>
      <c r="F245" s="465">
        <f>IF(B245=35977.001,VLOOKUP(C244,R239:Y265,8,TRUE),0)</f>
        <v>0</v>
      </c>
      <c r="G245" s="465">
        <f t="shared" si="49"/>
        <v>0</v>
      </c>
      <c r="H245" s="465">
        <f t="shared" si="50"/>
        <v>0</v>
      </c>
      <c r="I245" s="465"/>
      <c r="J245" s="465">
        <f>IF(B245=37803.001,IF(AND(B246&lt;&gt;AK94,B246&lt;&gt;AL94,B246&lt;38169,VLOOKUP(C244,S239:AE265,13,TRUE)=2),C244,VLOOKUP(C244,S239:AA265,9,TRUE)),0)</f>
        <v>0</v>
      </c>
      <c r="K245" s="465">
        <f>IF(AND(B244=37803.001,J244=C243),VLOOKUP(VLOOKUP(C244,S239:V265,4,TRUE),S239:AA265,9,TRUE),0)</f>
        <v>0</v>
      </c>
      <c r="L245" s="465">
        <f>IF(B245&gt;37803.001,VLOOKUP(C244,T239:W268,4,TRUE),0)</f>
        <v>0</v>
      </c>
      <c r="M245" s="465">
        <f>IF(AND(B245=BG216,B216=1,C216=1),MAX(BH216,VLOOKUP(C244,T239:AD268,11,TRUE)),0)</f>
        <v>0</v>
      </c>
      <c r="N245" s="452">
        <f>IF(AND(B244=BG216,B216=1,C216=2,B245&gt;37803.001),VLOOKUP(C244,T239:AD268,11,TRUE),0)</f>
        <v>0</v>
      </c>
      <c r="O245" s="452"/>
      <c r="P245" s="452"/>
      <c r="Q245" s="452">
        <v>6</v>
      </c>
      <c r="R245" s="452">
        <v>2255</v>
      </c>
      <c r="S245" s="452">
        <v>4310</v>
      </c>
      <c r="T245" s="452">
        <v>6195</v>
      </c>
      <c r="U245" s="452">
        <v>2315</v>
      </c>
      <c r="V245" s="452">
        <v>4430</v>
      </c>
      <c r="W245" s="452">
        <v>6350</v>
      </c>
      <c r="X245" s="452">
        <v>4307.3</v>
      </c>
      <c r="Y245" s="452">
        <v>4310</v>
      </c>
      <c r="Z245" s="452">
        <v>6304.46</v>
      </c>
      <c r="AA245" s="452">
        <v>6350</v>
      </c>
      <c r="AB245" s="452">
        <v>2375</v>
      </c>
      <c r="AC245" s="452">
        <v>4550</v>
      </c>
      <c r="AD245" s="452">
        <v>6505</v>
      </c>
      <c r="AE245" s="452">
        <v>1</v>
      </c>
      <c r="AF245" s="452"/>
      <c r="AG245" s="452"/>
      <c r="AH245" s="452"/>
      <c r="AI245" s="452"/>
    </row>
    <row r="246" spans="1:35" ht="12.75">
      <c r="A246" s="452"/>
      <c r="B246" s="456">
        <f t="shared" si="47"/>
        <v>0</v>
      </c>
      <c r="C246" s="452">
        <f t="shared" si="48"/>
        <v>0</v>
      </c>
      <c r="D246" s="452" t="str">
        <f>IF(B246=35977.001,C245,IF(AND(B246=37803.001,VLOOKUP(C245,S239:AE268,13,TRUE)=1),C245,IF(AND(B245=37803.001,VLOOKUP(C244,S239:AE268,13,TRUE)=2),C244," ")))</f>
        <v> </v>
      </c>
      <c r="E246" s="465">
        <v>0</v>
      </c>
      <c r="F246" s="465">
        <f>IF(B246=35977.001,VLOOKUP(C245,R239:Y265,8,TRUE),0)</f>
        <v>0</v>
      </c>
      <c r="G246" s="465">
        <f t="shared" si="49"/>
        <v>0</v>
      </c>
      <c r="H246" s="465">
        <f t="shared" si="50"/>
        <v>0</v>
      </c>
      <c r="I246" s="465"/>
      <c r="J246" s="465">
        <f>IF(B246=37803.001,IF(AND(B247&lt;&gt;AK94,B247&lt;&gt;AL94,B247&lt;38169,VLOOKUP(C245,S239:AE265,13,TRUE)=2),C245,VLOOKUP(C245,S239:AA265,9,TRUE)),0)</f>
        <v>0</v>
      </c>
      <c r="K246" s="465">
        <f>IF(AND(B245=37803.001,J245=C244),VLOOKUP(VLOOKUP(C245,S239:V265,4,TRUE),S239:AA265,9,TRUE),0)</f>
        <v>0</v>
      </c>
      <c r="L246" s="465">
        <f>IF(B246&gt;37803.001,VLOOKUP(C245,T239:W268,4,TRUE),0)</f>
        <v>0</v>
      </c>
      <c r="M246" s="465">
        <f>IF(AND(B246=BG217,B217=1,C217=1),MAX(BH217,VLOOKUP(C245,T239:AD268,11,TRUE)),0)</f>
        <v>0</v>
      </c>
      <c r="N246" s="452">
        <f>IF(AND(B245=BG217,B217=1,C217=2,B246&gt;37803.001),VLOOKUP(C245,T239:AD268,11,TRUE),0)</f>
        <v>0</v>
      </c>
      <c r="O246" s="452"/>
      <c r="P246" s="452"/>
      <c r="Q246" s="452">
        <v>7</v>
      </c>
      <c r="R246" s="452">
        <v>2315</v>
      </c>
      <c r="S246" s="452">
        <v>4430</v>
      </c>
      <c r="T246" s="452">
        <v>6350</v>
      </c>
      <c r="U246" s="452">
        <v>2375</v>
      </c>
      <c r="V246" s="452">
        <v>4550</v>
      </c>
      <c r="W246" s="452">
        <v>6505</v>
      </c>
      <c r="X246" s="452">
        <v>4421.9</v>
      </c>
      <c r="Y246" s="452">
        <v>4430</v>
      </c>
      <c r="Z246" s="452">
        <v>6479.78</v>
      </c>
      <c r="AA246" s="452">
        <v>6505</v>
      </c>
      <c r="AB246" s="452">
        <v>2450</v>
      </c>
      <c r="AC246" s="452">
        <v>4700</v>
      </c>
      <c r="AD246" s="452">
        <v>6675</v>
      </c>
      <c r="AE246" s="452">
        <v>1</v>
      </c>
      <c r="AF246" s="452"/>
      <c r="AG246" s="452"/>
      <c r="AH246" s="452"/>
      <c r="AI246" s="452"/>
    </row>
    <row r="247" spans="1:35" ht="12.75">
      <c r="A247" s="452"/>
      <c r="B247" s="456">
        <f t="shared" si="47"/>
        <v>0</v>
      </c>
      <c r="C247" s="452">
        <f t="shared" si="48"/>
        <v>0</v>
      </c>
      <c r="D247" s="452" t="str">
        <f>IF(B247=35977.001,C246,IF(AND(B247=37803.001,VLOOKUP(C246,S239:AE268,13,TRUE)=1),C246,IF(AND(B246=37803.001,VLOOKUP(C245,S239:AE268,13,TRUE)=2),C245," ")))</f>
        <v> </v>
      </c>
      <c r="E247" s="465">
        <v>0</v>
      </c>
      <c r="F247" s="465">
        <f>IF(B247=35977.001,VLOOKUP(C246,R239:Y265,8,TRUE),0)</f>
        <v>0</v>
      </c>
      <c r="G247" s="465">
        <f t="shared" si="49"/>
        <v>0</v>
      </c>
      <c r="H247" s="465">
        <f t="shared" si="50"/>
        <v>0</v>
      </c>
      <c r="I247" s="465"/>
      <c r="J247" s="465">
        <f>IF(B247=37803.001,IF(AND(B248&lt;&gt;AK94,B248&lt;&gt;AL94,B248&lt;38169,VLOOKUP(C246,S239:AE265,13,TRUE)=2),C246,VLOOKUP(C246,S239:AA265,9,TRUE)),0)</f>
        <v>0</v>
      </c>
      <c r="K247" s="465">
        <f>IF(AND(B246=37803.001,J246=C245),VLOOKUP(VLOOKUP(C246,S239:V265,4,TRUE),S239:AA265,9,TRUE),0)</f>
        <v>0</v>
      </c>
      <c r="L247" s="465">
        <f>IF(B247&gt;37803.001,VLOOKUP(C246,T239:W268,4,TRUE),0)</f>
        <v>0</v>
      </c>
      <c r="M247" s="465">
        <f>IF(AND(B247=BG218,B218=1,C218=1),MAX(BH218,VLOOKUP(C246,T239:AD268,11,TRUE)),0)</f>
        <v>0</v>
      </c>
      <c r="N247" s="452">
        <f>IF(AND(B246=BG218,B218=1,C218=2,B247&gt;37803.001),VLOOKUP(C246,T239:AD268,11,TRUE),0)</f>
        <v>0</v>
      </c>
      <c r="O247" s="452"/>
      <c r="P247" s="452"/>
      <c r="Q247" s="452">
        <v>8</v>
      </c>
      <c r="R247" s="452">
        <v>2375</v>
      </c>
      <c r="S247" s="452">
        <v>4550</v>
      </c>
      <c r="T247" s="452">
        <v>6505</v>
      </c>
      <c r="U247" s="452">
        <v>2450</v>
      </c>
      <c r="V247" s="452">
        <v>4700</v>
      </c>
      <c r="W247" s="452">
        <v>6675</v>
      </c>
      <c r="X247" s="452">
        <v>4536.5</v>
      </c>
      <c r="Y247" s="452">
        <v>4550</v>
      </c>
      <c r="Z247" s="452">
        <v>6655.1</v>
      </c>
      <c r="AA247" s="452">
        <v>6675</v>
      </c>
      <c r="AB247" s="452">
        <v>2525</v>
      </c>
      <c r="AC247" s="452">
        <v>4850</v>
      </c>
      <c r="AD247" s="452">
        <v>6845</v>
      </c>
      <c r="AE247" s="452">
        <v>2</v>
      </c>
      <c r="AF247" s="452"/>
      <c r="AG247" s="452"/>
      <c r="AH247" s="452"/>
      <c r="AI247" s="452"/>
    </row>
    <row r="248" spans="1:35" ht="12.75">
      <c r="A248" s="452"/>
      <c r="B248" s="456">
        <f t="shared" si="47"/>
        <v>0</v>
      </c>
      <c r="C248" s="452">
        <f t="shared" si="48"/>
        <v>0</v>
      </c>
      <c r="D248" s="452" t="str">
        <f>IF(B248=35977.001,C247,IF(AND(B248=37803.001,VLOOKUP(C247,S239:AE268,13,TRUE)=1),C247,IF(AND(B247=37803.001,VLOOKUP(C246,S239:AE268,13,TRUE)=2),C246," ")))</f>
        <v> </v>
      </c>
      <c r="E248" s="465">
        <v>0</v>
      </c>
      <c r="F248" s="465">
        <f>IF(B248=35977.001,VLOOKUP(C247,R239:Y265,8,TRUE),0)</f>
        <v>0</v>
      </c>
      <c r="G248" s="465">
        <f t="shared" si="49"/>
        <v>0</v>
      </c>
      <c r="H248" s="465">
        <f t="shared" si="50"/>
        <v>0</v>
      </c>
      <c r="I248" s="465"/>
      <c r="J248" s="465">
        <f>IF(B248=37803.001,IF(AND(B249&lt;&gt;AK94,B249&lt;&gt;AL94,B249&lt;38169,VLOOKUP(C247,S239:AE265,13,TRUE)=2),C247,VLOOKUP(C247,S239:AA265,9,TRUE)),0)</f>
        <v>0</v>
      </c>
      <c r="K248" s="465">
        <f>IF(AND(B247=37803.001,J247=C246),VLOOKUP(VLOOKUP(C247,S239:V265,4,TRUE),S239:AA265,9,TRUE),0)</f>
        <v>0</v>
      </c>
      <c r="L248" s="465">
        <f>IF(B248&gt;37803.001,VLOOKUP(C247,T239:W268,4,TRUE),0)</f>
        <v>0</v>
      </c>
      <c r="M248" s="465">
        <f>IF(AND(B248=BG219,B219=1,C219=1),MAX(BH219,VLOOKUP(C247,T239:AD268,11,TRUE)),0)</f>
        <v>0</v>
      </c>
      <c r="N248" s="452">
        <f>IF(AND(B247=BG219,B219=1,C219=2,B248&gt;37803.001),VLOOKUP(C247,T239:AD268,11,TRUE),0)</f>
        <v>0</v>
      </c>
      <c r="O248" s="452"/>
      <c r="P248" s="452"/>
      <c r="Q248" s="452">
        <v>9</v>
      </c>
      <c r="R248" s="452">
        <v>2450</v>
      </c>
      <c r="S248" s="452">
        <v>4700</v>
      </c>
      <c r="T248" s="452">
        <v>6675</v>
      </c>
      <c r="U248" s="452">
        <v>2525</v>
      </c>
      <c r="V248" s="452">
        <v>4850</v>
      </c>
      <c r="W248" s="452">
        <v>6845</v>
      </c>
      <c r="X248" s="452">
        <v>4680</v>
      </c>
      <c r="Y248" s="452">
        <v>4700</v>
      </c>
      <c r="Z248" s="452">
        <v>6874.5</v>
      </c>
      <c r="AA248" s="452">
        <v>7015</v>
      </c>
      <c r="AB248" s="452">
        <v>2600</v>
      </c>
      <c r="AC248" s="452">
        <v>5000</v>
      </c>
      <c r="AD248" s="452">
        <v>7015</v>
      </c>
      <c r="AE248" s="452">
        <v>1</v>
      </c>
      <c r="AF248" s="452"/>
      <c r="AG248" s="452"/>
      <c r="AH248" s="452"/>
      <c r="AI248" s="452"/>
    </row>
    <row r="249" spans="1:35" ht="12.75">
      <c r="A249" s="452"/>
      <c r="B249" s="456">
        <f t="shared" si="47"/>
        <v>0</v>
      </c>
      <c r="C249" s="452">
        <f t="shared" si="48"/>
        <v>0</v>
      </c>
      <c r="D249" s="452" t="str">
        <f>IF(B249=35977.001,C248,IF(AND(B249=37803.001,VLOOKUP(C248,S239:AE268,13,TRUE)=1),C248,IF(AND(B248=37803.001,VLOOKUP(C247,S239:AE268,13,TRUE)=2),C247," ")))</f>
        <v> </v>
      </c>
      <c r="E249" s="465">
        <v>0</v>
      </c>
      <c r="F249" s="465">
        <v>0</v>
      </c>
      <c r="G249" s="465">
        <f t="shared" si="49"/>
        <v>0</v>
      </c>
      <c r="H249" s="465">
        <f t="shared" si="50"/>
        <v>0</v>
      </c>
      <c r="I249" s="465"/>
      <c r="J249" s="465">
        <f>IF(B249=37803.001,IF(AND(B250&lt;&gt;AK94,B250&lt;&gt;AL94,B250&lt;38169,VLOOKUP(C248,S239:AE265,13,TRUE)=2),C248,VLOOKUP(C248,S239:AA265,9,TRUE)),0)</f>
        <v>0</v>
      </c>
      <c r="K249" s="465">
        <f>IF(AND(B248=37803.001,J248=C247),VLOOKUP(VLOOKUP(C248,S239:V265,4,TRUE),S239:AA265,9,TRUE),0)</f>
        <v>0</v>
      </c>
      <c r="L249" s="465">
        <f>IF(B249&gt;37803.001,VLOOKUP(C248,T239:W268,4,TRUE),0)</f>
        <v>0</v>
      </c>
      <c r="M249" s="465">
        <f>IF(AND(B249=BG220,B220=1,C220=1),MAX(BH220,VLOOKUP(C248,T239:AD268,11,TRUE)),0)</f>
        <v>0</v>
      </c>
      <c r="N249" s="452">
        <f>IF(AND(B248=BG220,B220=1,C220=2,B249&gt;37803.001),VLOOKUP(C248,T239:AD268,11,TRUE),0)</f>
        <v>0</v>
      </c>
      <c r="O249" s="452"/>
      <c r="P249" s="452"/>
      <c r="Q249" s="452">
        <v>10</v>
      </c>
      <c r="R249" s="452">
        <v>2525</v>
      </c>
      <c r="S249" s="452">
        <v>4850</v>
      </c>
      <c r="T249" s="452">
        <v>6845</v>
      </c>
      <c r="U249" s="452">
        <v>2600</v>
      </c>
      <c r="V249" s="452">
        <v>5000</v>
      </c>
      <c r="W249" s="452">
        <v>7015</v>
      </c>
      <c r="X249" s="452">
        <v>4822.5</v>
      </c>
      <c r="Y249" s="452">
        <v>4850</v>
      </c>
      <c r="Z249" s="452">
        <v>7093.9</v>
      </c>
      <c r="AA249" s="452">
        <v>7200</v>
      </c>
      <c r="AB249" s="452">
        <v>2675</v>
      </c>
      <c r="AC249" s="452">
        <v>5150</v>
      </c>
      <c r="AD249" s="452">
        <v>7200</v>
      </c>
      <c r="AE249" s="452">
        <v>1</v>
      </c>
      <c r="AF249" s="452"/>
      <c r="AG249" s="452"/>
      <c r="AH249" s="452"/>
      <c r="AI249" s="452"/>
    </row>
    <row r="250" spans="1:35" ht="12.75">
      <c r="A250" s="452"/>
      <c r="B250" s="456">
        <f t="shared" si="47"/>
        <v>0</v>
      </c>
      <c r="C250" s="452">
        <f t="shared" si="48"/>
        <v>0</v>
      </c>
      <c r="D250" s="452" t="str">
        <f>IF(B250=35977.001,C249,IF(AND(B250=37803.001,VLOOKUP(C249,S239:AE268,13,TRUE)=1),C249,IF(AND(B249=37803.001,VLOOKUP(C248,S239:AE268,13,TRUE)=2),C248," ")))</f>
        <v> </v>
      </c>
      <c r="E250" s="465">
        <v>0</v>
      </c>
      <c r="F250" s="465">
        <v>0</v>
      </c>
      <c r="G250" s="465">
        <f t="shared" si="49"/>
        <v>0</v>
      </c>
      <c r="H250" s="465">
        <f t="shared" si="50"/>
        <v>0</v>
      </c>
      <c r="I250" s="465"/>
      <c r="J250" s="465">
        <f>IF(B250=37803.001,IF(AND(B251&lt;&gt;AK94,B251&lt;&gt;AL94,B251&lt;38169,VLOOKUP(C249,S239:AE265,13,TRUE)=2),C249,VLOOKUP(C249,S239:AA265,9,TRUE)),0)</f>
        <v>0</v>
      </c>
      <c r="K250" s="465">
        <f>IF(AND(B249=37803.001,J249=C248),VLOOKUP(VLOOKUP(C249,S239:V265,4,TRUE),S239:AA265,9,TRUE),0)</f>
        <v>0</v>
      </c>
      <c r="L250" s="465">
        <f>IF(B250&gt;37803.001,VLOOKUP(C249,T239:W268,4,TRUE),0)</f>
        <v>0</v>
      </c>
      <c r="M250" s="465">
        <f>IF(AND(B250=BG221,B221=1,C221=1),MAX(BH221,VLOOKUP(C249,T239:AD268,11,TRUE)),0)</f>
        <v>0</v>
      </c>
      <c r="N250" s="452">
        <f>IF(AND(B249=BG221,B221=1,C221=2,B250&gt;37803.001),VLOOKUP(C249,T239:AD268,11,TRUE),0)</f>
        <v>0</v>
      </c>
      <c r="O250" s="452"/>
      <c r="P250" s="452"/>
      <c r="Q250" s="452">
        <v>11</v>
      </c>
      <c r="R250" s="452">
        <v>2600</v>
      </c>
      <c r="S250" s="452">
        <v>5000</v>
      </c>
      <c r="T250" s="452">
        <v>7015</v>
      </c>
      <c r="U250" s="452">
        <v>2675</v>
      </c>
      <c r="V250" s="452">
        <v>5150</v>
      </c>
      <c r="W250" s="452">
        <v>7200</v>
      </c>
      <c r="X250" s="452">
        <v>4966</v>
      </c>
      <c r="Y250" s="452">
        <v>5000</v>
      </c>
      <c r="Z250" s="452">
        <v>7313.3</v>
      </c>
      <c r="AA250" s="452">
        <v>7385</v>
      </c>
      <c r="AB250" s="452">
        <v>2750</v>
      </c>
      <c r="AC250" s="452">
        <v>5300</v>
      </c>
      <c r="AD250" s="452">
        <v>7385</v>
      </c>
      <c r="AE250" s="452">
        <v>1</v>
      </c>
      <c r="AF250" s="452"/>
      <c r="AG250" s="452"/>
      <c r="AH250" s="452"/>
      <c r="AI250" s="452"/>
    </row>
    <row r="251" spans="1:35" ht="12.75">
      <c r="A251" s="452"/>
      <c r="B251" s="456">
        <f t="shared" si="47"/>
        <v>0</v>
      </c>
      <c r="C251" s="452">
        <f t="shared" si="48"/>
        <v>0</v>
      </c>
      <c r="D251" s="452" t="str">
        <f>IF(B251=35977.001,C250,IF(AND(B251=37803.001,VLOOKUP(C250,S239:AE268,13,TRUE)=1),C250,IF(AND(B250=37803.001,VLOOKUP(C249,S239:AE268,13,TRUE)=2),C249," ")))</f>
        <v> </v>
      </c>
      <c r="E251" s="465">
        <v>0</v>
      </c>
      <c r="F251" s="465">
        <v>0</v>
      </c>
      <c r="G251" s="465">
        <f t="shared" si="49"/>
        <v>0</v>
      </c>
      <c r="H251" s="465">
        <f t="shared" si="50"/>
        <v>0</v>
      </c>
      <c r="I251" s="465"/>
      <c r="J251" s="465">
        <f>IF(B251=37803.001,IF(VLOOKUP(C250,S239:AE265,13,TRUE)=2,C250,VLOOKUP(C250,S239:AA265,9,TRUE)),0)</f>
        <v>0</v>
      </c>
      <c r="K251" s="465">
        <f>IF(AND(B250=37803.001,J250=C249),VLOOKUP(VLOOKUP(C250,S239:V265,4,TRUE),S239:AA265,9,TRUE),0)</f>
        <v>0</v>
      </c>
      <c r="L251" s="465">
        <f>IF(B251&gt;37803.001,VLOOKUP(C250,T239:W268,4,TRUE),0)</f>
        <v>0</v>
      </c>
      <c r="M251" s="465">
        <f>IF(AND(B251=BG222,B222=1,C222=1),MAX(BH222,VLOOKUP(C250,T239:AD268,11,TRUE)),0)</f>
        <v>0</v>
      </c>
      <c r="N251" s="452">
        <f>IF(AND(B250=BG222,B222=1,C222=2,B251&gt;37803.001),VLOOKUP(C250,T239:AD268,11,TRUE),0)</f>
        <v>0</v>
      </c>
      <c r="O251" s="452"/>
      <c r="P251" s="452"/>
      <c r="Q251" s="452">
        <v>12</v>
      </c>
      <c r="R251" s="452">
        <v>2675</v>
      </c>
      <c r="S251" s="452">
        <v>5150</v>
      </c>
      <c r="T251" s="452">
        <v>7200</v>
      </c>
      <c r="U251" s="452">
        <v>2750</v>
      </c>
      <c r="V251" s="452">
        <v>5300</v>
      </c>
      <c r="W251" s="452">
        <v>7385</v>
      </c>
      <c r="X251" s="452">
        <v>5109.5</v>
      </c>
      <c r="Y251" s="452">
        <v>5150</v>
      </c>
      <c r="Z251" s="452">
        <v>7532.7</v>
      </c>
      <c r="AA251" s="452">
        <v>7570</v>
      </c>
      <c r="AB251" s="452">
        <v>2840</v>
      </c>
      <c r="AC251" s="452">
        <v>5470</v>
      </c>
      <c r="AD251" s="452">
        <v>7570</v>
      </c>
      <c r="AE251" s="452">
        <v>1</v>
      </c>
      <c r="AF251" s="452"/>
      <c r="AG251" s="452"/>
      <c r="AH251" s="452"/>
      <c r="AI251" s="452"/>
    </row>
    <row r="252" spans="1:35" ht="12.75">
      <c r="A252" s="452"/>
      <c r="B252" s="456">
        <f t="shared" si="47"/>
        <v>0</v>
      </c>
      <c r="C252" s="452">
        <f t="shared" si="48"/>
        <v>0</v>
      </c>
      <c r="D252" s="452" t="str">
        <f>IF(B252=35977.001,C251,IF(AND(B252=37803.001,VLOOKUP(C251,S239:AE268,13,TRUE)=1),C251,IF(AND(B251=37803.001,VLOOKUP(C250,S239:AE268,13,TRUE)=2),C250," ")))</f>
        <v> </v>
      </c>
      <c r="E252" s="465">
        <v>0</v>
      </c>
      <c r="F252" s="465">
        <v>0</v>
      </c>
      <c r="G252" s="465">
        <f t="shared" si="49"/>
        <v>0</v>
      </c>
      <c r="H252" s="465">
        <f t="shared" si="50"/>
        <v>0</v>
      </c>
      <c r="I252" s="465"/>
      <c r="J252" s="465">
        <f>IF(B252=37803.001,IF(VLOOKUP(C251,S239:AE265,13,TRUE)=2,C251,VLOOKUP(C251,S239:AA265,9,TRUE)),0)</f>
        <v>0</v>
      </c>
      <c r="K252" s="465">
        <f>IF(AND(B251=37803.001,J251=C250),VLOOKUP(VLOOKUP(C251,S239:V265,4,TRUE),S239:AA265,9,TRUE),0)</f>
        <v>0</v>
      </c>
      <c r="L252" s="465">
        <f>IF(B252&gt;37803.001,VLOOKUP(C251,T239:W268,4,TRUE),0)</f>
        <v>0</v>
      </c>
      <c r="M252" s="465">
        <f>IF(AND(B252=BG223,B223=1,C223=1),MAX(BH223,VLOOKUP(C251,T239:AD268,11,TRUE)),0)</f>
        <v>0</v>
      </c>
      <c r="N252" s="452">
        <f>IF(AND(B251=BG223,B223=1,C223=2,B252&gt;37803.001),VLOOKUP(C251,T239:AD268,11,TRUE),0)</f>
        <v>0</v>
      </c>
      <c r="O252" s="452"/>
      <c r="P252" s="452"/>
      <c r="Q252" s="452">
        <v>13</v>
      </c>
      <c r="R252" s="452">
        <v>2750</v>
      </c>
      <c r="S252" s="452">
        <v>5300</v>
      </c>
      <c r="T252" s="452">
        <v>7385</v>
      </c>
      <c r="U252" s="452">
        <v>2840</v>
      </c>
      <c r="V252" s="452">
        <v>5470</v>
      </c>
      <c r="W252" s="452">
        <v>7570</v>
      </c>
      <c r="X252" s="452">
        <v>5253</v>
      </c>
      <c r="Y252" s="452">
        <v>5300</v>
      </c>
      <c r="Z252" s="452">
        <v>7752.1</v>
      </c>
      <c r="AA252" s="452">
        <v>7770</v>
      </c>
      <c r="AB252" s="452">
        <v>2930</v>
      </c>
      <c r="AC252" s="452">
        <v>5640</v>
      </c>
      <c r="AD252" s="452">
        <v>7770</v>
      </c>
      <c r="AE252" s="452">
        <v>2</v>
      </c>
      <c r="AF252" s="452"/>
      <c r="AG252" s="452"/>
      <c r="AH252" s="452"/>
      <c r="AI252" s="452"/>
    </row>
    <row r="253" spans="1:35" ht="12.75">
      <c r="A253" s="452"/>
      <c r="B253" s="456">
        <f t="shared" si="47"/>
        <v>0</v>
      </c>
      <c r="C253" s="452">
        <f t="shared" si="48"/>
        <v>0</v>
      </c>
      <c r="D253" s="452" t="str">
        <f>IF(B253=35977.001,C252,IF(AND(B253=37803.001,VLOOKUP(C252,S239:AE268,13,TRUE)=1),C252,IF(AND(B252=37803.001,VLOOKUP(C251,S239:AE268,13,TRUE)=2),C251," ")))</f>
        <v> </v>
      </c>
      <c r="E253" s="465">
        <v>0</v>
      </c>
      <c r="F253" s="465">
        <v>0</v>
      </c>
      <c r="G253" s="465">
        <f t="shared" si="49"/>
        <v>0</v>
      </c>
      <c r="H253" s="465">
        <f t="shared" si="50"/>
        <v>0</v>
      </c>
      <c r="I253" s="465"/>
      <c r="J253" s="465">
        <f>IF(B253=37803.001,IF(VLOOKUP(C252,S239:AE265,13,TRUE)=2,C252,VLOOKUP(C252,S239:AA265,9,TRUE)),0)</f>
        <v>0</v>
      </c>
      <c r="K253" s="465">
        <f>IF(AND(B252=37803.001,J252=C251),VLOOKUP(VLOOKUP(C252,S239:V265,4,TRUE),S239:AA265,9,TRUE),0)</f>
        <v>0</v>
      </c>
      <c r="L253" s="465">
        <f>IF(B253&gt;37803.001,VLOOKUP(C252,T239:W268,4,TRUE),0)</f>
        <v>0</v>
      </c>
      <c r="M253" s="465">
        <f>IF(AND(B253=BG224,B224=1,C224=1),MAX(BH224,VLOOKUP(C252,T239:AD268,11,TRUE)),0)</f>
        <v>0</v>
      </c>
      <c r="N253" s="452">
        <f>IF(AND(B252=BG224,B224=1,C224=2,B253&gt;37803.001),VLOOKUP(C252,T239:AD268,11,TRUE),0)</f>
        <v>0</v>
      </c>
      <c r="O253" s="452"/>
      <c r="P253" s="452"/>
      <c r="Q253" s="452">
        <v>14</v>
      </c>
      <c r="R253" s="452">
        <v>2840</v>
      </c>
      <c r="S253" s="452">
        <v>5470</v>
      </c>
      <c r="T253" s="452">
        <v>7570</v>
      </c>
      <c r="U253" s="452">
        <v>2930</v>
      </c>
      <c r="V253" s="452">
        <v>5640</v>
      </c>
      <c r="W253" s="452">
        <v>7770</v>
      </c>
      <c r="X253" s="452">
        <v>5424.4</v>
      </c>
      <c r="Y253" s="452">
        <v>5470</v>
      </c>
      <c r="Z253" s="452">
        <v>8000.55</v>
      </c>
      <c r="AA253" s="452">
        <v>8170</v>
      </c>
      <c r="AB253" s="452">
        <v>3020</v>
      </c>
      <c r="AC253" s="452">
        <v>5810</v>
      </c>
      <c r="AD253" s="452">
        <v>7970</v>
      </c>
      <c r="AE253" s="452">
        <v>1</v>
      </c>
      <c r="AF253" s="452"/>
      <c r="AG253" s="452"/>
      <c r="AH253" s="452"/>
      <c r="AI253" s="452"/>
    </row>
    <row r="254" spans="1:35" ht="12.75">
      <c r="A254" s="452"/>
      <c r="B254" s="456">
        <f t="shared" si="47"/>
        <v>0</v>
      </c>
      <c r="C254" s="452">
        <f t="shared" si="48"/>
        <v>0</v>
      </c>
      <c r="D254" s="452" t="str">
        <f>IF(B254=35977.001,C253,IF(AND(B254=37803.001,VLOOKUP(C253,S239:AE268,13,TRUE)=1),C253,IF(AND(B253=37803.001,VLOOKUP(C252,S239:AE268,13,TRUE)=2),C252," ")))</f>
        <v> </v>
      </c>
      <c r="E254" s="465">
        <v>0</v>
      </c>
      <c r="F254" s="465">
        <v>0</v>
      </c>
      <c r="G254" s="465">
        <f t="shared" si="49"/>
        <v>0</v>
      </c>
      <c r="H254" s="465">
        <f t="shared" si="50"/>
        <v>0</v>
      </c>
      <c r="I254" s="465"/>
      <c r="J254" s="465">
        <f>IF(B254=37803.001,IF(VLOOKUP(C253,S239:AE265,13,TRUE)=2,C253,VLOOKUP(C253,S239:AA265,9,TRUE)),0)</f>
        <v>0</v>
      </c>
      <c r="K254" s="465">
        <f>IF(AND(B253=37803.001,J253=C252),VLOOKUP(VLOOKUP(C253,S239:V265,4,TRUE),S239:AA265,9,TRUE),0)</f>
        <v>0</v>
      </c>
      <c r="L254" s="465">
        <f>IF(B254&gt;37803.001,VLOOKUP(C253,T239:W270,4,TRUE),0)</f>
        <v>0</v>
      </c>
      <c r="M254" s="465">
        <f>IF(AND(B254=BG225,B225=1,C225=1),MAX(BH225,VLOOKUP(C253,T239:AD268,11,TRUE)),0)</f>
        <v>0</v>
      </c>
      <c r="N254" s="452">
        <f>IF(AND(B253=BG225,B225=1,C225=2,B254&gt;37803.001),VLOOKUP(C253,T239:AD268,11,TRUE),0)</f>
        <v>0</v>
      </c>
      <c r="O254" s="452"/>
      <c r="P254" s="452"/>
      <c r="Q254" s="452">
        <v>15</v>
      </c>
      <c r="R254" s="452">
        <v>2930</v>
      </c>
      <c r="S254" s="452">
        <v>5640</v>
      </c>
      <c r="T254" s="452">
        <v>7770</v>
      </c>
      <c r="U254" s="452">
        <v>3020</v>
      </c>
      <c r="V254" s="452">
        <v>5810</v>
      </c>
      <c r="W254" s="452">
        <v>7970</v>
      </c>
      <c r="X254" s="452">
        <v>5596.8</v>
      </c>
      <c r="Y254" s="452">
        <v>5640</v>
      </c>
      <c r="Z254" s="452">
        <v>8249</v>
      </c>
      <c r="AA254" s="452">
        <v>8385</v>
      </c>
      <c r="AB254" s="452">
        <v>3110</v>
      </c>
      <c r="AC254" s="452">
        <v>5980</v>
      </c>
      <c r="AD254" s="452">
        <v>8170</v>
      </c>
      <c r="AE254" s="452">
        <v>1</v>
      </c>
      <c r="AF254" s="452"/>
      <c r="AG254" s="452"/>
      <c r="AH254" s="452"/>
      <c r="AI254" s="452"/>
    </row>
    <row r="255" spans="1:35" ht="12.75">
      <c r="A255" s="452"/>
      <c r="B255" s="456">
        <f t="shared" si="47"/>
        <v>0</v>
      </c>
      <c r="C255" s="452">
        <f t="shared" si="48"/>
        <v>0</v>
      </c>
      <c r="D255" s="452" t="str">
        <f>IF(B255=35977.001,C254,IF(AND(B255=37803.001,VLOOKUP(C254,S239:AE268,13,TRUE)=1),C254,IF(AND(B254=37803.001,VLOOKUP(C253,S239:AE268,13,TRUE)=2),C253," ")))</f>
        <v> </v>
      </c>
      <c r="E255" s="465">
        <v>0</v>
      </c>
      <c r="F255" s="465">
        <v>0</v>
      </c>
      <c r="G255" s="465">
        <f t="shared" si="49"/>
        <v>0</v>
      </c>
      <c r="H255" s="465">
        <f t="shared" si="50"/>
        <v>0</v>
      </c>
      <c r="I255" s="465"/>
      <c r="J255" s="465">
        <f>IF(B255=37803.001,IF(VLOOKUP(C254,S239:AE265,13,TRUE)=2,C254,VLOOKUP(C254,S239:AA265,9,TRUE)),0)</f>
        <v>0</v>
      </c>
      <c r="K255" s="465">
        <f>IF(AND(B254=37803.001,J254=C253),VLOOKUP(VLOOKUP(C254,S239:V265,4,TRUE),S239:AA265,9,TRUE),0)</f>
        <v>0</v>
      </c>
      <c r="L255" s="465">
        <f>IF(B255&gt;37803.001,VLOOKUP(C254,T239:W270,4,TRUE),0)</f>
        <v>0</v>
      </c>
      <c r="M255" s="465">
        <f>IF(AND(B255=BG226,B226=1,C226=1),MAX(BH226,VLOOKUP(C254,T239:AD268,11,TRUE)),0)</f>
        <v>0</v>
      </c>
      <c r="N255" s="452">
        <f>IF(AND(B254=BG226,B226=1,C226=2,B255&gt;37803.001),VLOOKUP(C254,T239:AD268,11,TRUE),0)</f>
        <v>0</v>
      </c>
      <c r="O255" s="452"/>
      <c r="P255" s="452"/>
      <c r="Q255" s="452">
        <v>16</v>
      </c>
      <c r="R255" s="452">
        <v>3020</v>
      </c>
      <c r="S255" s="452">
        <v>5810</v>
      </c>
      <c r="T255" s="452">
        <v>7970</v>
      </c>
      <c r="U255" s="452">
        <v>3110</v>
      </c>
      <c r="V255" s="452">
        <v>5980</v>
      </c>
      <c r="W255" s="452">
        <v>8170</v>
      </c>
      <c r="X255" s="452">
        <v>5768.2</v>
      </c>
      <c r="Y255" s="452">
        <v>5810</v>
      </c>
      <c r="Z255" s="452">
        <v>8498.45</v>
      </c>
      <c r="AA255" s="452">
        <v>8600</v>
      </c>
      <c r="AB255" s="452">
        <v>3200</v>
      </c>
      <c r="AC255" s="452">
        <v>6150</v>
      </c>
      <c r="AD255" s="452">
        <v>8385</v>
      </c>
      <c r="AE255" s="452">
        <v>1</v>
      </c>
      <c r="AF255" s="452"/>
      <c r="AG255" s="452"/>
      <c r="AH255" s="452"/>
      <c r="AI255" s="452"/>
    </row>
    <row r="256" spans="1:35" ht="12.75">
      <c r="A256" s="452"/>
      <c r="B256" s="456">
        <f t="shared" si="47"/>
        <v>0</v>
      </c>
      <c r="C256" s="452">
        <f t="shared" si="48"/>
        <v>0</v>
      </c>
      <c r="D256" s="452" t="str">
        <f>IF(B256=35977.001,C255,IF(AND(B256=37803.001,VLOOKUP(C255,S239:AE268,13,TRUE)=1),C255,IF(AND(B255=37803.001,VLOOKUP(C254,S239:AE268,13,TRUE)=2),C254," ")))</f>
        <v> </v>
      </c>
      <c r="E256" s="465">
        <v>0</v>
      </c>
      <c r="F256" s="465">
        <v>0</v>
      </c>
      <c r="G256" s="465">
        <f t="shared" si="49"/>
        <v>0</v>
      </c>
      <c r="H256" s="465">
        <f t="shared" si="50"/>
        <v>0</v>
      </c>
      <c r="I256" s="465"/>
      <c r="J256" s="465">
        <f>IF(B256=37803.001,IF(VLOOKUP(C255,S239:AE265,13,TRUE)=2,C255,VLOOKUP(C255,S239:AA265,9,TRUE)),0)</f>
        <v>0</v>
      </c>
      <c r="K256" s="465">
        <f>IF(AND(B255=37803.001,J255=C254),VLOOKUP(VLOOKUP(C255,S239:V265,4,TRUE),S239:AA265,9,TRUE),0)</f>
        <v>0</v>
      </c>
      <c r="L256" s="465">
        <f>IF(B256&gt;37803.001,VLOOKUP(C255,T239:W270,4,TRUE),0)</f>
        <v>0</v>
      </c>
      <c r="M256" s="465">
        <f>IF(AND(B256=BG227,B227=1,C227=1),MAX(BH227,VLOOKUP(C255,T239:AD268,11,TRUE)),0)</f>
        <v>0</v>
      </c>
      <c r="N256" s="452">
        <f>IF(AND(B255=BG227,B227=1,C227=2,B256&gt;37803.001),VLOOKUP(C255,T239:AD268,11,TRUE),0)</f>
        <v>0</v>
      </c>
      <c r="O256" s="452"/>
      <c r="P256" s="452"/>
      <c r="Q256" s="452">
        <v>17</v>
      </c>
      <c r="R256" s="452">
        <v>3110</v>
      </c>
      <c r="S256" s="452">
        <v>5980</v>
      </c>
      <c r="T256" s="452">
        <v>8170</v>
      </c>
      <c r="U256" s="452">
        <v>3200</v>
      </c>
      <c r="V256" s="452">
        <v>6150</v>
      </c>
      <c r="W256" s="452">
        <v>8385</v>
      </c>
      <c r="X256" s="452">
        <v>5940.6</v>
      </c>
      <c r="Y256" s="452">
        <v>5980</v>
      </c>
      <c r="Z256" s="452">
        <v>8746.91</v>
      </c>
      <c r="AA256" s="452">
        <v>8815</v>
      </c>
      <c r="AB256" s="452">
        <v>3290</v>
      </c>
      <c r="AC256" s="452">
        <v>6350</v>
      </c>
      <c r="AD256" s="452">
        <v>8600</v>
      </c>
      <c r="AE256" s="452">
        <v>1</v>
      </c>
      <c r="AF256" s="452"/>
      <c r="AG256" s="452"/>
      <c r="AH256" s="452"/>
      <c r="AI256" s="452"/>
    </row>
    <row r="257" spans="1:35" ht="12.75">
      <c r="A257" s="452"/>
      <c r="B257" s="456">
        <f t="shared" si="47"/>
        <v>0</v>
      </c>
      <c r="C257" s="452">
        <f t="shared" si="48"/>
        <v>0</v>
      </c>
      <c r="D257" s="452" t="str">
        <f>IF(B257=35977.001,C256,IF(AND(B257=37803.001,VLOOKUP(C256,S239:AE268,13,TRUE)=1),C256,IF(AND(B256=37803.001,VLOOKUP(C255,S239:AE268,13,TRUE)=2),C255," ")))</f>
        <v> </v>
      </c>
      <c r="E257" s="465">
        <v>0</v>
      </c>
      <c r="F257" s="465">
        <v>0</v>
      </c>
      <c r="G257" s="465">
        <f t="shared" si="49"/>
        <v>0</v>
      </c>
      <c r="H257" s="465">
        <f t="shared" si="50"/>
        <v>0</v>
      </c>
      <c r="I257" s="465"/>
      <c r="J257" s="465">
        <f>IF(B257=37803.001,IF(VLOOKUP(C256,S239:AE265,13,TRUE)=2,C256,VLOOKUP(C256,S239:AA265,9,TRUE)),0)</f>
        <v>0</v>
      </c>
      <c r="K257" s="465">
        <f>IF(AND(B256=37803.001,J256=C255),VLOOKUP(VLOOKUP(C256,S239:V265,4,TRUE),S239:AA265,9,TRUE),0)</f>
        <v>0</v>
      </c>
      <c r="L257" s="465">
        <f>IF(B257&gt;37803.001,VLOOKUP(C256,T239:W270,4,TRUE),0)</f>
        <v>0</v>
      </c>
      <c r="M257" s="465">
        <f>IF(AND(B257=BG228,B228=1,C228=1),MAX(BH228,VLOOKUP(C256,T239:AD268,11,TRUE)),0)</f>
        <v>0</v>
      </c>
      <c r="N257" s="452">
        <f>IF(AND(B256=BG228,B228=1,C228=2,B257&gt;37803.001),VLOOKUP(C256,T239:AD268,11,TRUE),0)</f>
        <v>0</v>
      </c>
      <c r="O257" s="452"/>
      <c r="P257" s="452"/>
      <c r="Q257" s="452">
        <v>18</v>
      </c>
      <c r="R257" s="452">
        <v>3200</v>
      </c>
      <c r="S257" s="452">
        <v>6150</v>
      </c>
      <c r="T257" s="452">
        <v>8385</v>
      </c>
      <c r="U257" s="452">
        <v>3290</v>
      </c>
      <c r="V257" s="452">
        <v>6350</v>
      </c>
      <c r="W257" s="452">
        <v>8600</v>
      </c>
      <c r="X257" s="452">
        <v>6112</v>
      </c>
      <c r="Y257" s="452">
        <v>6150</v>
      </c>
      <c r="Z257" s="452">
        <v>8995.36</v>
      </c>
      <c r="AA257" s="452">
        <v>9050</v>
      </c>
      <c r="AB257" s="452">
        <v>3340</v>
      </c>
      <c r="AC257" s="452">
        <v>6550</v>
      </c>
      <c r="AD257" s="452">
        <v>8815</v>
      </c>
      <c r="AE257" s="452">
        <v>2</v>
      </c>
      <c r="AF257" s="452"/>
      <c r="AG257" s="452"/>
      <c r="AH257" s="452"/>
      <c r="AI257" s="452"/>
    </row>
    <row r="258" spans="1:35" ht="12.75">
      <c r="A258" s="452"/>
      <c r="B258" s="456">
        <f t="shared" si="47"/>
        <v>0</v>
      </c>
      <c r="C258" s="452">
        <f t="shared" si="48"/>
        <v>0</v>
      </c>
      <c r="D258" s="452" t="str">
        <f>IF(B258=35977.001,C257,IF(AND(B258=37803.001,VLOOKUP(C257,S239:AE268,13,TRUE)=1),C257,IF(AND(B257=37803.001,VLOOKUP(C256,S239:AE268,13,TRUE)=2),C256," ")))</f>
        <v> </v>
      </c>
      <c r="E258" s="465">
        <v>0</v>
      </c>
      <c r="F258" s="465">
        <v>0</v>
      </c>
      <c r="G258" s="465">
        <f t="shared" si="49"/>
        <v>0</v>
      </c>
      <c r="H258" s="465">
        <f t="shared" si="50"/>
        <v>0</v>
      </c>
      <c r="I258" s="465"/>
      <c r="J258" s="465">
        <f>IF(B258=37803.001,IF(VLOOKUP(C257,S239:AE265,13,TRUE)=2,C257,VLOOKUP(C257,S239:AA265,9,TRUE)),0)</f>
        <v>0</v>
      </c>
      <c r="K258" s="465">
        <f>IF(AND(B257=37803.001,J257=C256),VLOOKUP(VLOOKUP(C257,S239:V265,4,TRUE),S239:AA265,9,TRUE),0)</f>
        <v>0</v>
      </c>
      <c r="L258" s="465">
        <f>IF(B258&gt;37803.001,VLOOKUP(C257,T239:W270,4,TRUE),0)</f>
        <v>0</v>
      </c>
      <c r="M258" s="465">
        <f>IF(AND(B258=BG229,B229=1,C229=1),MAX(BH229,VLOOKUP(C257,T239:AD268,11,TRUE)),0)</f>
        <v>0</v>
      </c>
      <c r="N258" s="452">
        <f>IF(AND(B257=BG229,B229=1,C229=2,B258&gt;37803.001),VLOOKUP(C257,T239:AD268,11,TRUE),0)</f>
        <v>0</v>
      </c>
      <c r="O258" s="452"/>
      <c r="P258" s="452"/>
      <c r="Q258" s="452">
        <v>19</v>
      </c>
      <c r="R258" s="452">
        <v>3290</v>
      </c>
      <c r="S258" s="452">
        <v>6350</v>
      </c>
      <c r="T258" s="452">
        <v>8600</v>
      </c>
      <c r="U258" s="452">
        <v>3340</v>
      </c>
      <c r="V258" s="452">
        <v>6550</v>
      </c>
      <c r="W258" s="452">
        <v>8815</v>
      </c>
      <c r="X258" s="452">
        <v>6284.4</v>
      </c>
      <c r="Y258" s="452">
        <v>6350</v>
      </c>
      <c r="Z258" s="452">
        <v>9287.89</v>
      </c>
      <c r="AA258" s="452">
        <v>9520</v>
      </c>
      <c r="AB258" s="452">
        <v>3390</v>
      </c>
      <c r="AC258" s="452">
        <v>6750</v>
      </c>
      <c r="AD258" s="452">
        <v>9050</v>
      </c>
      <c r="AE258" s="452">
        <v>1</v>
      </c>
      <c r="AF258" s="452"/>
      <c r="AG258" s="452"/>
      <c r="AH258" s="452"/>
      <c r="AI258" s="452"/>
    </row>
    <row r="259" spans="1:35" ht="12.75">
      <c r="A259" s="452"/>
      <c r="B259" s="456">
        <f t="shared" si="47"/>
        <v>0</v>
      </c>
      <c r="C259" s="452">
        <f t="shared" si="48"/>
        <v>0</v>
      </c>
      <c r="D259" s="452" t="str">
        <f>IF(B259=35977.001,C258,IF(AND(B259=37803.001,VLOOKUP(C258,S239:AE268,13,TRUE)=1),C258,IF(AND(B258=37803.001,VLOOKUP(C257,S239:AE268,13,TRUE)=2),C257," ")))</f>
        <v> </v>
      </c>
      <c r="E259" s="465">
        <v>0</v>
      </c>
      <c r="F259" s="465">
        <v>0</v>
      </c>
      <c r="G259" s="465">
        <f t="shared" si="49"/>
        <v>0</v>
      </c>
      <c r="H259" s="465">
        <f t="shared" si="50"/>
        <v>0</v>
      </c>
      <c r="I259" s="465"/>
      <c r="J259" s="465">
        <f>IF(B259=37803.001,IF(VLOOKUP(C258,S239:AE265,13,TRUE)=2,C258,VLOOKUP(C258,S239:AA265,9,TRUE)),0)</f>
        <v>0</v>
      </c>
      <c r="K259" s="465">
        <f>IF(AND(B258=37803.001,J258=C257),VLOOKUP(VLOOKUP(C258,S239:V265,4,TRUE),S239:AA265,9,TRUE),0)</f>
        <v>0</v>
      </c>
      <c r="L259" s="465">
        <f>IF(B259&gt;37803.001,VLOOKUP(C258,T239:W268,4,TRUE),0)</f>
        <v>0</v>
      </c>
      <c r="M259" s="465">
        <f>IF(AND(B259=BG230,B230=1,C230=1),MAX(BH230,VLOOKUP(C258,T239:AD268,11,TRUE)),0)</f>
        <v>0</v>
      </c>
      <c r="N259" s="452">
        <f>IF(AND(B258=BG230,B230=1,C230=2,B259&gt;37803.001),VLOOKUP(C258,T239:AD268,11,TRUE),0)</f>
        <v>0</v>
      </c>
      <c r="O259" s="452"/>
      <c r="P259" s="452"/>
      <c r="Q259" s="452">
        <v>20</v>
      </c>
      <c r="R259" s="452">
        <v>3340</v>
      </c>
      <c r="S259" s="452">
        <v>6550</v>
      </c>
      <c r="T259" s="452">
        <v>8815</v>
      </c>
      <c r="U259" s="452">
        <v>3390</v>
      </c>
      <c r="V259" s="452">
        <v>6750</v>
      </c>
      <c r="W259" s="452">
        <v>9050</v>
      </c>
      <c r="X259" s="452">
        <v>6379.4</v>
      </c>
      <c r="Y259" s="452">
        <v>6550</v>
      </c>
      <c r="Z259" s="452">
        <v>9580.42</v>
      </c>
      <c r="AA259" s="452">
        <v>9775</v>
      </c>
      <c r="AB259" s="452">
        <v>3440</v>
      </c>
      <c r="AC259" s="452">
        <v>6950</v>
      </c>
      <c r="AD259" s="452">
        <v>9285</v>
      </c>
      <c r="AE259" s="452">
        <v>1</v>
      </c>
      <c r="AF259" s="452"/>
      <c r="AG259" s="452"/>
      <c r="AH259" s="452"/>
      <c r="AI259" s="452"/>
    </row>
    <row r="260" spans="1:35" ht="12.75">
      <c r="A260" s="452"/>
      <c r="B260" s="456">
        <f t="shared" si="47"/>
        <v>0</v>
      </c>
      <c r="C260" s="452">
        <f t="shared" si="48"/>
        <v>0</v>
      </c>
      <c r="D260" s="452" t="str">
        <f>IF(B260=35977.001,C259,IF(AND(B260=37803.001,VLOOKUP(C259,S239:AE268,13,TRUE)=1),C259,IF(AND(B259=37803.001,VLOOKUP(C258,S239:AE268,13,TRUE)=2),C258," ")))</f>
        <v> </v>
      </c>
      <c r="E260" s="465">
        <v>0</v>
      </c>
      <c r="F260" s="465">
        <v>0</v>
      </c>
      <c r="G260" s="465">
        <f t="shared" si="49"/>
        <v>0</v>
      </c>
      <c r="H260" s="465">
        <f t="shared" si="50"/>
        <v>0</v>
      </c>
      <c r="I260" s="465"/>
      <c r="J260" s="465">
        <f>IF(B260=37803.001,IF(VLOOKUP(C259,S239:AE265,13,TRUE)=2,C259,VLOOKUP(C259,S239:AA265,9,TRUE)),0)</f>
        <v>0</v>
      </c>
      <c r="K260" s="465">
        <f>IF(AND(B259=37803.001,J259=C258),VLOOKUP(VLOOKUP(C259,S239:V265,4,TRUE),S239:AA265,9,TRUE),0)</f>
        <v>0</v>
      </c>
      <c r="L260" s="465">
        <f>IF(B260&gt;37803.001,VLOOKUP(C259,T239:W268,4,TRUE),0)</f>
        <v>0</v>
      </c>
      <c r="M260" s="465">
        <f>IF(AND(B260=BG231,B231=1,C231=1),MAX(BH231,VLOOKUP(C259,T239:AD268,11,TRUE)),0)</f>
        <v>0</v>
      </c>
      <c r="N260" s="452">
        <f>IF(AND(B259=BG231,B231=1,C231=2,B260&gt;37803.001),VLOOKUP(C259,T239:AD268,11,TRUE),0)</f>
        <v>0</v>
      </c>
      <c r="O260" s="452"/>
      <c r="P260" s="452"/>
      <c r="Q260" s="452">
        <v>21</v>
      </c>
      <c r="R260" s="452">
        <v>3390</v>
      </c>
      <c r="S260" s="452">
        <v>6750</v>
      </c>
      <c r="T260" s="452">
        <v>9050</v>
      </c>
      <c r="U260" s="452">
        <v>3440</v>
      </c>
      <c r="V260" s="452">
        <v>6950</v>
      </c>
      <c r="W260" s="452">
        <v>9285</v>
      </c>
      <c r="X260" s="452">
        <v>6475.4</v>
      </c>
      <c r="Y260" s="452">
        <v>6550</v>
      </c>
      <c r="Z260" s="452">
        <v>9872.96</v>
      </c>
      <c r="AA260" s="452">
        <v>10030</v>
      </c>
      <c r="AB260" s="452">
        <v>3490</v>
      </c>
      <c r="AC260" s="452">
        <v>7150</v>
      </c>
      <c r="AD260" s="452">
        <v>9520</v>
      </c>
      <c r="AE260" s="452">
        <v>1</v>
      </c>
      <c r="AF260" s="452"/>
      <c r="AG260" s="452"/>
      <c r="AH260" s="452"/>
      <c r="AI260" s="452"/>
    </row>
    <row r="261" spans="1:35" ht="12.75">
      <c r="A261" s="452"/>
      <c r="B261" s="456">
        <f t="shared" si="47"/>
        <v>0</v>
      </c>
      <c r="C261" s="452">
        <f t="shared" si="48"/>
        <v>0</v>
      </c>
      <c r="D261" s="452" t="str">
        <f>IF(B261=35977.001,C260,IF(AND(B261=37803.001,VLOOKUP(C260,S239:AE268,13,TRUE)=1),C260,IF(AND(B260=37803.001,VLOOKUP(C259,S239:AE268,13,TRUE)=2),C259," ")))</f>
        <v> </v>
      </c>
      <c r="E261" s="465">
        <v>0</v>
      </c>
      <c r="F261" s="465">
        <v>0</v>
      </c>
      <c r="G261" s="465">
        <f t="shared" si="49"/>
        <v>0</v>
      </c>
      <c r="H261" s="465">
        <f t="shared" si="50"/>
        <v>0</v>
      </c>
      <c r="I261" s="465"/>
      <c r="J261" s="465">
        <f>IF(B261=37803.001,IF(VLOOKUP(C260,S239:AE265,13,TRUE)=2,C260,VLOOKUP(C260,S239:AA265,9,TRUE)),0)</f>
        <v>0</v>
      </c>
      <c r="K261" s="465">
        <f>IF(AND(B260=37803.001,J260=C259),VLOOKUP(VLOOKUP(C260,S239:V265,4,TRUE),S239:AA265,9,TRUE),0)</f>
        <v>0</v>
      </c>
      <c r="L261" s="465">
        <f>IF(B261&gt;37803.001,VLOOKUP(C260,T239:W268,4,TRUE),0)</f>
        <v>0</v>
      </c>
      <c r="M261" s="465">
        <f>IF(AND(B261=BG232,B232=1,C232=1),MAX(BH232,VLOOKUP(C260,T239:AD268,11,TRUE)),0)</f>
        <v>0</v>
      </c>
      <c r="N261" s="452">
        <f>IF(AND(B260=BG232,B232=1,C232=2,B261&gt;37803.001),VLOOKUP(C260,T239:AD268,11,TRUE),0)</f>
        <v>0</v>
      </c>
      <c r="O261" s="452"/>
      <c r="P261" s="452"/>
      <c r="Q261" s="452">
        <v>22</v>
      </c>
      <c r="R261" s="452">
        <v>3440</v>
      </c>
      <c r="S261" s="452">
        <v>6950</v>
      </c>
      <c r="T261" s="452">
        <v>9285</v>
      </c>
      <c r="U261" s="452">
        <v>3490</v>
      </c>
      <c r="V261" s="452">
        <v>7150</v>
      </c>
      <c r="W261" s="452">
        <v>9520</v>
      </c>
      <c r="X261" s="452">
        <v>6570.4</v>
      </c>
      <c r="Y261" s="452">
        <v>6750</v>
      </c>
      <c r="Z261" s="452">
        <v>10165.49</v>
      </c>
      <c r="AA261" s="452">
        <v>10285</v>
      </c>
      <c r="AB261" s="452">
        <v>3540</v>
      </c>
      <c r="AC261" s="452">
        <v>7400</v>
      </c>
      <c r="AD261" s="452">
        <v>9775</v>
      </c>
      <c r="AE261" s="452">
        <v>1</v>
      </c>
      <c r="AF261" s="452"/>
      <c r="AG261" s="452"/>
      <c r="AH261" s="452"/>
      <c r="AI261" s="452"/>
    </row>
    <row r="262" spans="1:35" ht="12.75">
      <c r="A262" s="452"/>
      <c r="B262" s="456">
        <f t="shared" si="47"/>
        <v>0</v>
      </c>
      <c r="C262" s="452">
        <f t="shared" si="48"/>
        <v>0</v>
      </c>
      <c r="D262" s="452" t="str">
        <f>IF(B262=35977.001,C261,IF(AND(B262=37803.001,VLOOKUP(C261,S239:AE268,13,TRUE)=1),C261,IF(AND(B261=37803.001,VLOOKUP(C260,S239:AE268,13,TRUE)=2),C260," ")))</f>
        <v> </v>
      </c>
      <c r="E262" s="465">
        <v>0</v>
      </c>
      <c r="F262" s="465">
        <v>0</v>
      </c>
      <c r="G262" s="465">
        <f t="shared" si="49"/>
        <v>0</v>
      </c>
      <c r="H262" s="465">
        <f t="shared" si="50"/>
        <v>0</v>
      </c>
      <c r="I262" s="465"/>
      <c r="J262" s="465">
        <f>IF(B262=37803.001,IF(VLOOKUP(C261,S239:AE265,13,TRUE)=2,C261,VLOOKUP(C261,S239:AA265,9,TRUE)),0)</f>
        <v>0</v>
      </c>
      <c r="K262" s="465">
        <f>IF(AND(B261=37803.001,J261=C260),VLOOKUP(VLOOKUP(C261,S239:V265,4,TRUE),S239:AA265,9,TRUE),0)</f>
        <v>0</v>
      </c>
      <c r="L262" s="465">
        <f>IF(B262&gt;37803.001,VLOOKUP(C261,T239:W268,4,TRUE),0)</f>
        <v>0</v>
      </c>
      <c r="M262" s="465">
        <f>IF(AND(B262=BG233,B233=1,C233=1),MAX(BH233,VLOOKUP(C261,T239:AD268,11,TRUE)),0)</f>
        <v>0</v>
      </c>
      <c r="N262" s="452">
        <f>IF(AND(B261=BG233,B233=1,C233=2,B262&gt;37803.001),VLOOKUP(C261,T239:AD268,11,TRUE),0)</f>
        <v>0</v>
      </c>
      <c r="O262" s="452"/>
      <c r="P262" s="452"/>
      <c r="Q262" s="452">
        <v>23</v>
      </c>
      <c r="R262" s="452">
        <v>3490</v>
      </c>
      <c r="S262" s="452">
        <v>7150</v>
      </c>
      <c r="T262" s="452">
        <v>9520</v>
      </c>
      <c r="U262" s="452">
        <v>3540</v>
      </c>
      <c r="V262" s="452">
        <v>7400</v>
      </c>
      <c r="W262" s="452">
        <v>9775</v>
      </c>
      <c r="X262" s="452">
        <v>6666.4</v>
      </c>
      <c r="Y262" s="452">
        <v>6750</v>
      </c>
      <c r="Z262" s="452">
        <v>10458.02</v>
      </c>
      <c r="AA262" s="452">
        <v>10565</v>
      </c>
      <c r="AB262" s="452">
        <v>3590</v>
      </c>
      <c r="AC262" s="452">
        <v>7650</v>
      </c>
      <c r="AD262" s="452">
        <v>10030</v>
      </c>
      <c r="AE262" s="452">
        <v>1</v>
      </c>
      <c r="AF262" s="452"/>
      <c r="AG262" s="452"/>
      <c r="AH262" s="452"/>
      <c r="AI262" s="452"/>
    </row>
    <row r="263" spans="1:35" ht="12.75">
      <c r="A263" s="452"/>
      <c r="B263" s="452"/>
      <c r="C263" s="452"/>
      <c r="D263" s="452"/>
      <c r="E263" s="465"/>
      <c r="F263" s="465"/>
      <c r="G263" s="465"/>
      <c r="H263" s="465"/>
      <c r="I263" s="465"/>
      <c r="J263" s="465"/>
      <c r="K263" s="465"/>
      <c r="L263" s="465"/>
      <c r="M263" s="465"/>
      <c r="N263" s="452"/>
      <c r="O263" s="452"/>
      <c r="P263" s="452"/>
      <c r="Q263" s="452">
        <v>24</v>
      </c>
      <c r="R263" s="452">
        <v>3540</v>
      </c>
      <c r="S263" s="452">
        <v>7400</v>
      </c>
      <c r="T263" s="452">
        <v>9775</v>
      </c>
      <c r="U263" s="452">
        <v>3590</v>
      </c>
      <c r="V263" s="452">
        <v>7650</v>
      </c>
      <c r="W263" s="452">
        <v>10030</v>
      </c>
      <c r="X263" s="452">
        <v>6761.4</v>
      </c>
      <c r="Y263" s="452">
        <v>6950</v>
      </c>
      <c r="Z263" s="452">
        <v>10823.68</v>
      </c>
      <c r="AA263" s="452">
        <v>10845</v>
      </c>
      <c r="AB263" s="452">
        <v>3640</v>
      </c>
      <c r="AC263" s="452">
        <v>7900</v>
      </c>
      <c r="AD263" s="452">
        <v>10285</v>
      </c>
      <c r="AE263" s="452">
        <v>2</v>
      </c>
      <c r="AF263" s="452"/>
      <c r="AG263" s="452"/>
      <c r="AH263" s="452"/>
      <c r="AI263" s="452"/>
    </row>
    <row r="264" spans="1:35" ht="12.75">
      <c r="A264" s="452"/>
      <c r="B264" s="452"/>
      <c r="C264" s="452"/>
      <c r="D264" s="452"/>
      <c r="E264" s="452"/>
      <c r="F264" s="452"/>
      <c r="G264" s="452"/>
      <c r="H264" s="452"/>
      <c r="I264" s="452"/>
      <c r="J264" s="452"/>
      <c r="K264" s="452"/>
      <c r="L264" s="452"/>
      <c r="M264" s="452"/>
      <c r="N264" s="452"/>
      <c r="O264" s="452"/>
      <c r="P264" s="452"/>
      <c r="Q264" s="452">
        <v>25</v>
      </c>
      <c r="R264" s="452">
        <v>3590</v>
      </c>
      <c r="S264" s="452">
        <v>7650</v>
      </c>
      <c r="T264" s="452">
        <v>10030</v>
      </c>
      <c r="U264" s="452">
        <v>3640</v>
      </c>
      <c r="V264" s="452">
        <v>7900</v>
      </c>
      <c r="W264" s="452">
        <v>10285</v>
      </c>
      <c r="X264" s="452">
        <v>6857.4</v>
      </c>
      <c r="Y264" s="452">
        <v>6950</v>
      </c>
      <c r="Z264" s="452">
        <v>11189.35</v>
      </c>
      <c r="AA264" s="452">
        <v>11440</v>
      </c>
      <c r="AB264" s="452">
        <v>3690</v>
      </c>
      <c r="AC264" s="452">
        <v>8150</v>
      </c>
      <c r="AD264" s="452">
        <v>10565</v>
      </c>
      <c r="AE264" s="452">
        <v>1</v>
      </c>
      <c r="AF264" s="452"/>
      <c r="AG264" s="452"/>
      <c r="AH264" s="452"/>
      <c r="AI264" s="452"/>
    </row>
    <row r="265" spans="1:35" ht="12.75">
      <c r="A265" s="452"/>
      <c r="B265" s="452"/>
      <c r="C265" s="452"/>
      <c r="D265" s="452"/>
      <c r="E265" s="452"/>
      <c r="F265" s="452"/>
      <c r="G265" s="452"/>
      <c r="H265" s="452"/>
      <c r="I265" s="452"/>
      <c r="J265" s="452"/>
      <c r="K265" s="452"/>
      <c r="L265" s="452"/>
      <c r="M265" s="452"/>
      <c r="N265" s="452"/>
      <c r="O265" s="452"/>
      <c r="P265" s="452"/>
      <c r="Q265" s="452">
        <v>26</v>
      </c>
      <c r="R265" s="452">
        <v>3640</v>
      </c>
      <c r="S265" s="452">
        <v>7900</v>
      </c>
      <c r="T265" s="452">
        <v>10285</v>
      </c>
      <c r="U265" s="452">
        <v>3690</v>
      </c>
      <c r="V265" s="452">
        <v>8150</v>
      </c>
      <c r="W265" s="452">
        <v>10565</v>
      </c>
      <c r="X265" s="452">
        <v>6952.4</v>
      </c>
      <c r="Y265" s="452">
        <v>7150</v>
      </c>
      <c r="Z265" s="452">
        <v>11555.01</v>
      </c>
      <c r="AA265" s="452">
        <v>11755</v>
      </c>
      <c r="AB265" s="452">
        <v>3740</v>
      </c>
      <c r="AC265" s="452">
        <v>8400</v>
      </c>
      <c r="AD265" s="452">
        <v>10845</v>
      </c>
      <c r="AE265" s="452">
        <v>1</v>
      </c>
      <c r="AF265" s="452"/>
      <c r="AG265" s="452"/>
      <c r="AH265" s="452"/>
      <c r="AI265" s="452"/>
    </row>
    <row r="266" spans="1:35" ht="20.25">
      <c r="A266" s="465"/>
      <c r="B266" s="465"/>
      <c r="C266" s="465"/>
      <c r="D266" s="465"/>
      <c r="E266" s="466"/>
      <c r="F266" s="465"/>
      <c r="G266" s="465"/>
      <c r="H266" s="465"/>
      <c r="I266" s="465"/>
      <c r="J266" s="465"/>
      <c r="K266" s="465"/>
      <c r="L266" s="465"/>
      <c r="M266" s="465"/>
      <c r="N266" s="465"/>
      <c r="O266" s="465"/>
      <c r="P266" s="465"/>
      <c r="Q266" s="465"/>
      <c r="R266" s="465"/>
      <c r="S266" s="465"/>
      <c r="T266" s="452">
        <v>10565</v>
      </c>
      <c r="U266" s="465"/>
      <c r="V266" s="465"/>
      <c r="W266" s="452">
        <v>10845</v>
      </c>
      <c r="X266" s="465"/>
      <c r="Y266" s="465"/>
      <c r="Z266" s="465"/>
      <c r="AA266" s="465"/>
      <c r="AB266" s="465"/>
      <c r="AC266" s="465"/>
      <c r="AD266" s="465">
        <v>11125</v>
      </c>
      <c r="AE266" s="465"/>
      <c r="AF266" s="465"/>
      <c r="AG266" s="465"/>
      <c r="AH266" s="465"/>
      <c r="AI266" s="465"/>
    </row>
    <row r="267" spans="1:35" ht="12.75">
      <c r="A267" s="435"/>
      <c r="B267" s="435"/>
      <c r="C267" s="438"/>
      <c r="D267" s="438"/>
      <c r="E267" s="438"/>
      <c r="F267" s="438"/>
      <c r="G267" s="438"/>
      <c r="H267" s="438"/>
      <c r="I267" s="438"/>
      <c r="J267" s="438"/>
      <c r="K267" s="438"/>
      <c r="L267" s="438"/>
      <c r="M267" s="438"/>
      <c r="N267" s="438"/>
      <c r="O267" s="438"/>
      <c r="P267" s="438"/>
      <c r="Q267" s="438"/>
      <c r="R267" s="438"/>
      <c r="S267" s="438"/>
      <c r="T267" s="452">
        <v>10845</v>
      </c>
      <c r="U267" s="467"/>
      <c r="V267" s="467"/>
      <c r="W267" s="452">
        <v>11125</v>
      </c>
      <c r="X267" s="467"/>
      <c r="Y267" s="467"/>
      <c r="Z267" s="467"/>
      <c r="AA267" s="465"/>
      <c r="AB267" s="465"/>
      <c r="AC267" s="465"/>
      <c r="AD267" s="452">
        <v>11440</v>
      </c>
      <c r="AE267" s="435"/>
      <c r="AF267" s="435"/>
      <c r="AG267" s="435"/>
      <c r="AH267" s="435"/>
      <c r="AI267" s="435"/>
    </row>
    <row r="268" spans="1:35" ht="12.75">
      <c r="A268" s="435"/>
      <c r="B268" s="435"/>
      <c r="C268" s="435"/>
      <c r="D268" s="435"/>
      <c r="E268" s="435"/>
      <c r="F268" s="435"/>
      <c r="G268" s="435"/>
      <c r="H268" s="435"/>
      <c r="I268" s="435"/>
      <c r="J268" s="435"/>
      <c r="K268" s="435"/>
      <c r="L268" s="435"/>
      <c r="M268" s="435"/>
      <c r="N268" s="435"/>
      <c r="O268" s="435"/>
      <c r="P268" s="435"/>
      <c r="Q268" s="435"/>
      <c r="R268" s="435"/>
      <c r="S268" s="435"/>
      <c r="T268" s="452">
        <v>11125</v>
      </c>
      <c r="U268" s="465"/>
      <c r="V268" s="465"/>
      <c r="W268" s="452">
        <v>11440</v>
      </c>
      <c r="X268" s="465"/>
      <c r="Y268" s="465"/>
      <c r="Z268" s="465"/>
      <c r="AA268" s="465"/>
      <c r="AB268" s="465"/>
      <c r="AC268" s="465"/>
      <c r="AD268" s="452">
        <v>11755</v>
      </c>
      <c r="AE268" s="435"/>
      <c r="AF268" s="435"/>
      <c r="AG268" s="435"/>
      <c r="AH268" s="435"/>
      <c r="AI268" s="435"/>
    </row>
    <row r="269" spans="1:35" ht="12.75">
      <c r="A269" s="2"/>
      <c r="B269" s="468"/>
      <c r="C269" s="2" t="s">
        <v>497</v>
      </c>
      <c r="D269" s="2"/>
      <c r="E269" s="2"/>
      <c r="F269" s="2" t="s">
        <v>498</v>
      </c>
      <c r="G269" s="2"/>
      <c r="H269" s="468"/>
      <c r="I269" s="468" t="s">
        <v>499</v>
      </c>
      <c r="J269" s="468"/>
      <c r="K269" s="468"/>
      <c r="L269" s="468"/>
      <c r="M269" s="468"/>
      <c r="N269" s="468"/>
      <c r="O269" s="468"/>
      <c r="P269" s="468"/>
      <c r="Q269" s="468"/>
      <c r="R269" s="468"/>
      <c r="S269" s="468"/>
      <c r="T269" s="465">
        <v>11440</v>
      </c>
      <c r="U269" s="467"/>
      <c r="V269" s="467"/>
      <c r="W269" s="465">
        <v>11755</v>
      </c>
      <c r="X269" s="467"/>
      <c r="Y269" s="467"/>
      <c r="Z269" s="467"/>
      <c r="AA269" s="465"/>
      <c r="AB269" s="465"/>
      <c r="AC269" s="465"/>
      <c r="AD269" s="465">
        <v>12070</v>
      </c>
      <c r="AE269" s="468"/>
      <c r="AF269" s="468"/>
      <c r="AG269" s="468"/>
      <c r="AH269" s="468"/>
      <c r="AI269" s="468"/>
    </row>
    <row r="270" spans="1:35" ht="15">
      <c r="A270" s="2">
        <v>1</v>
      </c>
      <c r="B270" s="469">
        <f aca="true" t="shared" si="51" ref="B270:D285">B94</f>
        <v>0</v>
      </c>
      <c r="C270" s="470">
        <f t="shared" si="51"/>
        <v>1975</v>
      </c>
      <c r="D270" s="470"/>
      <c r="E270" s="469">
        <f>B168</f>
        <v>0</v>
      </c>
      <c r="F270" s="470">
        <f>C168</f>
        <v>2075</v>
      </c>
      <c r="G270" s="470"/>
      <c r="H270" s="469">
        <f>B240</f>
        <v>0</v>
      </c>
      <c r="I270" s="470">
        <f>C240</f>
        <v>2075</v>
      </c>
      <c r="J270" s="470"/>
      <c r="K270" s="429">
        <v>1</v>
      </c>
      <c r="L270" s="471">
        <v>39904</v>
      </c>
      <c r="M270" s="471" t="s">
        <v>500</v>
      </c>
      <c r="N270" s="429">
        <f>IF(O270&lt;=1,2,1)</f>
        <v>2</v>
      </c>
      <c r="O270" s="429">
        <f>M278</f>
        <v>0</v>
      </c>
      <c r="P270" s="420">
        <f>IF(O270&lt;=1,H270,E270)</f>
        <v>0</v>
      </c>
      <c r="Q270" s="472">
        <f>IF(O270&lt;=1,I270,F270)</f>
        <v>2075</v>
      </c>
      <c r="R270" s="472"/>
      <c r="S270" s="468" t="e">
        <f>VLOOKUP(B270,BE305:BG310,3,TRUE)</f>
        <v>#N/A</v>
      </c>
      <c r="T270" s="465">
        <v>11755</v>
      </c>
      <c r="U270" s="473" t="e">
        <f>VLOOKUP(P270,BG320:BI325,3,TRUE)</f>
        <v>#N/A</v>
      </c>
      <c r="V270" s="473"/>
      <c r="W270" s="465">
        <v>12070</v>
      </c>
      <c r="X270" s="473"/>
      <c r="Y270" s="473"/>
      <c r="Z270" s="473"/>
      <c r="AA270" s="465"/>
      <c r="AB270" s="465"/>
      <c r="AC270" s="465"/>
      <c r="AD270" s="465">
        <v>12385</v>
      </c>
      <c r="AE270" s="468"/>
      <c r="AF270" s="468"/>
      <c r="AG270" s="468"/>
      <c r="AH270" s="468"/>
      <c r="AI270" s="468"/>
    </row>
    <row r="271" spans="1:35" ht="15">
      <c r="A271" s="2">
        <v>2</v>
      </c>
      <c r="B271" s="469">
        <f t="shared" si="51"/>
        <v>0</v>
      </c>
      <c r="C271" s="470">
        <f t="shared" si="51"/>
        <v>0</v>
      </c>
      <c r="D271" s="470" t="str">
        <f t="shared" si="51"/>
        <v> </v>
      </c>
      <c r="E271" s="469">
        <f aca="true" t="shared" si="52" ref="E271:G292">B169</f>
        <v>0</v>
      </c>
      <c r="F271" s="470">
        <f t="shared" si="52"/>
        <v>0</v>
      </c>
      <c r="G271" s="470" t="str">
        <f t="shared" si="52"/>
        <v> </v>
      </c>
      <c r="H271" s="469">
        <f aca="true" t="shared" si="53" ref="H271:J292">B241</f>
        <v>0</v>
      </c>
      <c r="I271" s="470">
        <f t="shared" si="53"/>
        <v>0</v>
      </c>
      <c r="J271" s="470" t="str">
        <f t="shared" si="53"/>
        <v> </v>
      </c>
      <c r="K271" s="429">
        <v>2</v>
      </c>
      <c r="L271" s="471">
        <f>L270</f>
        <v>39904</v>
      </c>
      <c r="M271" s="471"/>
      <c r="N271" s="471"/>
      <c r="O271" s="429">
        <f>O270</f>
        <v>0</v>
      </c>
      <c r="P271" s="420">
        <f aca="true" t="shared" si="54" ref="P271:P292">IF(O271&lt;=1,H271,E271)</f>
        <v>0</v>
      </c>
      <c r="Q271" s="472">
        <f aca="true" t="shared" si="55" ref="Q271:Q292">IF(O271&lt;=1,I271,F271)</f>
        <v>0</v>
      </c>
      <c r="R271" s="472" t="str">
        <f>IF(O271&lt;=1,J271,G271)</f>
        <v> </v>
      </c>
      <c r="S271" s="468" t="e">
        <f>VLOOKUP(B271,BE305:BG310,3,TRUE)</f>
        <v>#N/A</v>
      </c>
      <c r="T271" s="468"/>
      <c r="U271" s="473" t="e">
        <f>VLOOKUP(P271,BG320:BI325,3,TRUE)</f>
        <v>#N/A</v>
      </c>
      <c r="V271" s="468"/>
      <c r="W271" s="468"/>
      <c r="X271" s="468"/>
      <c r="Y271" s="468"/>
      <c r="Z271" s="468"/>
      <c r="AA271" s="468"/>
      <c r="AB271" s="468"/>
      <c r="AC271" s="468"/>
      <c r="AD271" s="468"/>
      <c r="AE271" s="468"/>
      <c r="AF271" s="468"/>
      <c r="AG271" s="468"/>
      <c r="AH271" s="468"/>
      <c r="AI271" s="468"/>
    </row>
    <row r="272" spans="1:35" ht="15">
      <c r="A272" s="2">
        <v>3</v>
      </c>
      <c r="B272" s="469">
        <f t="shared" si="51"/>
        <v>0</v>
      </c>
      <c r="C272" s="470">
        <f t="shared" si="51"/>
        <v>0</v>
      </c>
      <c r="D272" s="470" t="str">
        <f t="shared" si="51"/>
        <v> </v>
      </c>
      <c r="E272" s="469">
        <f t="shared" si="52"/>
        <v>0</v>
      </c>
      <c r="F272" s="470">
        <f t="shared" si="52"/>
        <v>0</v>
      </c>
      <c r="G272" s="470" t="str">
        <f t="shared" si="52"/>
        <v> </v>
      </c>
      <c r="H272" s="469">
        <f t="shared" si="53"/>
        <v>0</v>
      </c>
      <c r="I272" s="470">
        <f t="shared" si="53"/>
        <v>0</v>
      </c>
      <c r="J272" s="470" t="str">
        <f t="shared" si="53"/>
        <v> </v>
      </c>
      <c r="K272" s="429">
        <v>3</v>
      </c>
      <c r="L272" s="471">
        <f aca="true" t="shared" si="56" ref="L272:L292">L271</f>
        <v>39904</v>
      </c>
      <c r="M272" s="471"/>
      <c r="N272" s="471"/>
      <c r="O272" s="429">
        <f aca="true" t="shared" si="57" ref="O272:O292">O271</f>
        <v>0</v>
      </c>
      <c r="P272" s="420">
        <f t="shared" si="54"/>
        <v>0</v>
      </c>
      <c r="Q272" s="472">
        <f t="shared" si="55"/>
        <v>0</v>
      </c>
      <c r="R272" s="472" t="str">
        <f aca="true" t="shared" si="58" ref="R272:R292">IF(O272&lt;=1,J272,G272)</f>
        <v> </v>
      </c>
      <c r="S272" s="468" t="e">
        <f>VLOOKUP(B272,BE305:BG310,3,TRUE)</f>
        <v>#N/A</v>
      </c>
      <c r="T272" s="468"/>
      <c r="U272" s="473" t="e">
        <f>VLOOKUP(P272,BG320:BI325,3,TRUE)</f>
        <v>#N/A</v>
      </c>
      <c r="V272" s="468"/>
      <c r="W272" s="468"/>
      <c r="X272" s="468"/>
      <c r="Y272" s="468"/>
      <c r="Z272" s="468"/>
      <c r="AA272" s="468"/>
      <c r="AB272" s="468"/>
      <c r="AC272" s="468"/>
      <c r="AD272" s="468"/>
      <c r="AE272" s="468"/>
      <c r="AF272" s="468"/>
      <c r="AG272" s="468"/>
      <c r="AH272" s="468"/>
      <c r="AI272" s="468"/>
    </row>
    <row r="273" spans="1:35" ht="15">
      <c r="A273" s="2">
        <v>4</v>
      </c>
      <c r="B273" s="469">
        <f t="shared" si="51"/>
        <v>0</v>
      </c>
      <c r="C273" s="470">
        <f t="shared" si="51"/>
        <v>0</v>
      </c>
      <c r="D273" s="470" t="str">
        <f t="shared" si="51"/>
        <v> </v>
      </c>
      <c r="E273" s="469">
        <f t="shared" si="52"/>
        <v>0</v>
      </c>
      <c r="F273" s="470">
        <f t="shared" si="52"/>
        <v>0</v>
      </c>
      <c r="G273" s="470" t="str">
        <f t="shared" si="52"/>
        <v> </v>
      </c>
      <c r="H273" s="469">
        <f t="shared" si="53"/>
        <v>0</v>
      </c>
      <c r="I273" s="470">
        <f t="shared" si="53"/>
        <v>0</v>
      </c>
      <c r="J273" s="470" t="str">
        <f t="shared" si="53"/>
        <v> </v>
      </c>
      <c r="K273" s="429">
        <v>4</v>
      </c>
      <c r="L273" s="471">
        <f t="shared" si="56"/>
        <v>39904</v>
      </c>
      <c r="M273" s="471"/>
      <c r="N273" s="471"/>
      <c r="O273" s="429">
        <f t="shared" si="57"/>
        <v>0</v>
      </c>
      <c r="P273" s="420">
        <f t="shared" si="54"/>
        <v>0</v>
      </c>
      <c r="Q273" s="472">
        <f t="shared" si="55"/>
        <v>0</v>
      </c>
      <c r="R273" s="472" t="str">
        <f t="shared" si="58"/>
        <v> </v>
      </c>
      <c r="S273" s="468" t="e">
        <f>VLOOKUP(B273,BE305:BG310,3,TRUE)</f>
        <v>#N/A</v>
      </c>
      <c r="T273" s="468"/>
      <c r="U273" s="473" t="e">
        <f>VLOOKUP(P273,BG320:BI325,3,TRUE)</f>
        <v>#N/A</v>
      </c>
      <c r="V273" s="468"/>
      <c r="W273" s="468"/>
      <c r="X273" s="468"/>
      <c r="Y273" s="468"/>
      <c r="Z273" s="468"/>
      <c r="AA273" s="468"/>
      <c r="AB273" s="468"/>
      <c r="AC273" s="468"/>
      <c r="AD273" s="468"/>
      <c r="AE273" s="468"/>
      <c r="AF273" s="468"/>
      <c r="AG273" s="468"/>
      <c r="AH273" s="468"/>
      <c r="AI273" s="468"/>
    </row>
    <row r="274" spans="1:35" ht="15">
      <c r="A274" s="2">
        <v>5</v>
      </c>
      <c r="B274" s="469">
        <f t="shared" si="51"/>
        <v>0</v>
      </c>
      <c r="C274" s="470">
        <f t="shared" si="51"/>
        <v>0</v>
      </c>
      <c r="D274" s="470" t="str">
        <f t="shared" si="51"/>
        <v> </v>
      </c>
      <c r="E274" s="469">
        <f t="shared" si="52"/>
        <v>0</v>
      </c>
      <c r="F274" s="470">
        <f t="shared" si="52"/>
        <v>0</v>
      </c>
      <c r="G274" s="470" t="str">
        <f t="shared" si="52"/>
        <v> </v>
      </c>
      <c r="H274" s="469">
        <f t="shared" si="53"/>
        <v>0</v>
      </c>
      <c r="I274" s="470">
        <f t="shared" si="53"/>
        <v>0</v>
      </c>
      <c r="J274" s="470" t="str">
        <f t="shared" si="53"/>
        <v> </v>
      </c>
      <c r="K274" s="429">
        <v>5</v>
      </c>
      <c r="L274" s="471">
        <f t="shared" si="56"/>
        <v>39904</v>
      </c>
      <c r="M274" s="471"/>
      <c r="N274" s="471"/>
      <c r="O274" s="429">
        <f t="shared" si="57"/>
        <v>0</v>
      </c>
      <c r="P274" s="420">
        <f t="shared" si="54"/>
        <v>0</v>
      </c>
      <c r="Q274" s="472">
        <f t="shared" si="55"/>
        <v>0</v>
      </c>
      <c r="R274" s="472" t="str">
        <f t="shared" si="58"/>
        <v> </v>
      </c>
      <c r="S274" s="468" t="e">
        <f>VLOOKUP(B274,BE305:BG310,3,TRUE)</f>
        <v>#N/A</v>
      </c>
      <c r="T274" s="468"/>
      <c r="U274" s="473" t="e">
        <f>VLOOKUP(P274,BG320:BI325,3,TRUE)</f>
        <v>#N/A</v>
      </c>
      <c r="V274" s="468"/>
      <c r="W274" s="468"/>
      <c r="X274" s="468"/>
      <c r="Y274" s="468"/>
      <c r="Z274" s="468"/>
      <c r="AA274" s="468"/>
      <c r="AB274" s="468"/>
      <c r="AC274" s="468"/>
      <c r="AD274" s="468"/>
      <c r="AE274" s="468"/>
      <c r="AF274" s="468"/>
      <c r="AG274" s="468"/>
      <c r="AH274" s="468"/>
      <c r="AI274" s="468"/>
    </row>
    <row r="275" spans="1:35" ht="15">
      <c r="A275" s="2">
        <v>6</v>
      </c>
      <c r="B275" s="469">
        <f t="shared" si="51"/>
        <v>0</v>
      </c>
      <c r="C275" s="470">
        <f t="shared" si="51"/>
        <v>0</v>
      </c>
      <c r="D275" s="470" t="str">
        <f t="shared" si="51"/>
        <v> </v>
      </c>
      <c r="E275" s="469">
        <f t="shared" si="52"/>
        <v>0</v>
      </c>
      <c r="F275" s="470">
        <f t="shared" si="52"/>
        <v>0</v>
      </c>
      <c r="G275" s="470" t="str">
        <f t="shared" si="52"/>
        <v> </v>
      </c>
      <c r="H275" s="469">
        <f t="shared" si="53"/>
        <v>0</v>
      </c>
      <c r="I275" s="470">
        <f t="shared" si="53"/>
        <v>0</v>
      </c>
      <c r="J275" s="470" t="str">
        <f t="shared" si="53"/>
        <v> </v>
      </c>
      <c r="K275" s="429">
        <v>6</v>
      </c>
      <c r="L275" s="471">
        <f t="shared" si="56"/>
        <v>39904</v>
      </c>
      <c r="M275" s="429">
        <f>VLOOKUP(B58+0.01,H270:K292,4,TRUE)</f>
        <v>23</v>
      </c>
      <c r="N275" s="471"/>
      <c r="O275" s="429">
        <f t="shared" si="57"/>
        <v>0</v>
      </c>
      <c r="P275" s="420">
        <f t="shared" si="54"/>
        <v>0</v>
      </c>
      <c r="Q275" s="472">
        <f t="shared" si="55"/>
        <v>0</v>
      </c>
      <c r="R275" s="472" t="str">
        <f t="shared" si="58"/>
        <v> </v>
      </c>
      <c r="S275" s="468" t="e">
        <f>VLOOKUP(B275,BE305:BG310,3,TRUE)</f>
        <v>#N/A</v>
      </c>
      <c r="T275" s="468"/>
      <c r="U275" s="473" t="e">
        <f>VLOOKUP(P275,BG320:BI325,3,TRUE)</f>
        <v>#N/A</v>
      </c>
      <c r="V275" s="468"/>
      <c r="W275" s="468"/>
      <c r="X275" s="468"/>
      <c r="Y275" s="468"/>
      <c r="Z275" s="468"/>
      <c r="AA275" s="468"/>
      <c r="AB275" s="468"/>
      <c r="AC275" s="468"/>
      <c r="AD275" s="468"/>
      <c r="AE275" s="468"/>
      <c r="AF275" s="468"/>
      <c r="AG275" s="468"/>
      <c r="AH275" s="468"/>
      <c r="AI275" s="468"/>
    </row>
    <row r="276" spans="1:35" ht="15">
      <c r="A276" s="2">
        <v>7</v>
      </c>
      <c r="B276" s="469">
        <f t="shared" si="51"/>
        <v>0</v>
      </c>
      <c r="C276" s="470">
        <f t="shared" si="51"/>
        <v>0</v>
      </c>
      <c r="D276" s="470" t="str">
        <f t="shared" si="51"/>
        <v> </v>
      </c>
      <c r="E276" s="469">
        <f t="shared" si="52"/>
        <v>0</v>
      </c>
      <c r="F276" s="470">
        <f t="shared" si="52"/>
        <v>0</v>
      </c>
      <c r="G276" s="470" t="str">
        <f t="shared" si="52"/>
        <v> </v>
      </c>
      <c r="H276" s="469">
        <f t="shared" si="53"/>
        <v>0</v>
      </c>
      <c r="I276" s="470">
        <f t="shared" si="53"/>
        <v>0</v>
      </c>
      <c r="J276" s="470" t="str">
        <f t="shared" si="53"/>
        <v> </v>
      </c>
      <c r="K276" s="429">
        <v>7</v>
      </c>
      <c r="L276" s="471">
        <f t="shared" si="56"/>
        <v>39904</v>
      </c>
      <c r="M276" s="429">
        <f>VLOOKUP(M275-1,A270:I292,9,TRUE)</f>
        <v>0</v>
      </c>
      <c r="N276" s="471">
        <f>VLOOKUP(M275-1,A270:I292,8,TRUE)</f>
        <v>0</v>
      </c>
      <c r="O276" s="429">
        <f t="shared" si="57"/>
        <v>0</v>
      </c>
      <c r="P276" s="420">
        <f t="shared" si="54"/>
        <v>0</v>
      </c>
      <c r="Q276" s="472">
        <f t="shared" si="55"/>
        <v>0</v>
      </c>
      <c r="R276" s="472" t="str">
        <f t="shared" si="58"/>
        <v> </v>
      </c>
      <c r="S276" s="468" t="e">
        <f>VLOOKUP(B276,BE305:BG310,3,TRUE)</f>
        <v>#N/A</v>
      </c>
      <c r="T276" s="468"/>
      <c r="U276" s="473" t="e">
        <f>VLOOKUP(P276,BG320:BI325,3,TRUE)</f>
        <v>#N/A</v>
      </c>
      <c r="V276" s="468"/>
      <c r="W276" s="468"/>
      <c r="X276" s="468"/>
      <c r="Y276" s="468"/>
      <c r="Z276" s="468"/>
      <c r="AA276" s="468"/>
      <c r="AB276" s="468"/>
      <c r="AC276" s="468"/>
      <c r="AD276" s="468"/>
      <c r="AE276" s="468"/>
      <c r="AF276" s="468"/>
      <c r="AG276" s="468"/>
      <c r="AH276" s="468"/>
      <c r="AI276" s="468"/>
    </row>
    <row r="277" spans="1:35" ht="15">
      <c r="A277" s="2">
        <v>8</v>
      </c>
      <c r="B277" s="469">
        <f t="shared" si="51"/>
        <v>0</v>
      </c>
      <c r="C277" s="470">
        <f t="shared" si="51"/>
        <v>0</v>
      </c>
      <c r="D277" s="470" t="str">
        <f t="shared" si="51"/>
        <v> </v>
      </c>
      <c r="E277" s="469">
        <f t="shared" si="52"/>
        <v>0</v>
      </c>
      <c r="F277" s="470">
        <f t="shared" si="52"/>
        <v>0</v>
      </c>
      <c r="G277" s="470" t="str">
        <f t="shared" si="52"/>
        <v> </v>
      </c>
      <c r="H277" s="469">
        <f t="shared" si="53"/>
        <v>0</v>
      </c>
      <c r="I277" s="470">
        <f t="shared" si="53"/>
        <v>0</v>
      </c>
      <c r="J277" s="470" t="str">
        <f t="shared" si="53"/>
        <v> </v>
      </c>
      <c r="K277" s="429">
        <v>8</v>
      </c>
      <c r="L277" s="471">
        <f t="shared" si="56"/>
        <v>39904</v>
      </c>
      <c r="M277" s="429">
        <f>IF(N276&lt;37803.01,VLOOKUP(M276,S239:AJ265,18,TRUE),VLOOKUP(M276,T239:AJ270,17,TRUE))</f>
        <v>0</v>
      </c>
      <c r="N277" s="429">
        <f>IF(N276&lt;37803.01,VLOOKUP(F236,S239:AJ265,18,TRUE),VLOOKUP(F236,T239:AJ270,17,TRUE))</f>
        <v>0</v>
      </c>
      <c r="O277" s="429">
        <f t="shared" si="57"/>
        <v>0</v>
      </c>
      <c r="P277" s="420">
        <f t="shared" si="54"/>
        <v>0</v>
      </c>
      <c r="Q277" s="472">
        <f t="shared" si="55"/>
        <v>0</v>
      </c>
      <c r="R277" s="472" t="str">
        <f t="shared" si="58"/>
        <v> </v>
      </c>
      <c r="S277" s="468" t="e">
        <f>VLOOKUP(B277,BE305:BG310,3,TRUE)</f>
        <v>#N/A</v>
      </c>
      <c r="T277" s="468"/>
      <c r="U277" s="473" t="e">
        <f>VLOOKUP(P277,BG320:BI325,3,TRUE)</f>
        <v>#N/A</v>
      </c>
      <c r="V277" s="468"/>
      <c r="W277" s="468"/>
      <c r="X277" s="468"/>
      <c r="Y277" s="468"/>
      <c r="Z277" s="468"/>
      <c r="AA277" s="468"/>
      <c r="AB277" s="468"/>
      <c r="AC277" s="468"/>
      <c r="AD277" s="468"/>
      <c r="AE277" s="468"/>
      <c r="AF277" s="468"/>
      <c r="AG277" s="468"/>
      <c r="AH277" s="468"/>
      <c r="AI277" s="468"/>
    </row>
    <row r="278" spans="1:35" ht="15">
      <c r="A278" s="2">
        <v>9</v>
      </c>
      <c r="B278" s="469">
        <f t="shared" si="51"/>
        <v>0</v>
      </c>
      <c r="C278" s="470">
        <f t="shared" si="51"/>
        <v>0</v>
      </c>
      <c r="D278" s="470" t="str">
        <f t="shared" si="51"/>
        <v> </v>
      </c>
      <c r="E278" s="469">
        <f t="shared" si="52"/>
        <v>0</v>
      </c>
      <c r="F278" s="470">
        <f t="shared" si="52"/>
        <v>0</v>
      </c>
      <c r="G278" s="470" t="str">
        <f t="shared" si="52"/>
        <v> </v>
      </c>
      <c r="H278" s="469">
        <f t="shared" si="53"/>
        <v>0</v>
      </c>
      <c r="I278" s="470">
        <f t="shared" si="53"/>
        <v>0</v>
      </c>
      <c r="J278" s="470" t="str">
        <f t="shared" si="53"/>
        <v> </v>
      </c>
      <c r="K278" s="429">
        <v>9</v>
      </c>
      <c r="L278" s="471">
        <f t="shared" si="56"/>
        <v>39904</v>
      </c>
      <c r="M278" s="429">
        <f>N277-M277</f>
        <v>0</v>
      </c>
      <c r="N278" s="471"/>
      <c r="O278" s="429">
        <f t="shared" si="57"/>
        <v>0</v>
      </c>
      <c r="P278" s="420">
        <f t="shared" si="54"/>
        <v>0</v>
      </c>
      <c r="Q278" s="472">
        <f t="shared" si="55"/>
        <v>0</v>
      </c>
      <c r="R278" s="472" t="str">
        <f t="shared" si="58"/>
        <v> </v>
      </c>
      <c r="S278" s="468" t="e">
        <f>VLOOKUP(B278,BE305:BG310,3,TRUE)</f>
        <v>#N/A</v>
      </c>
      <c r="T278" s="468"/>
      <c r="U278" s="473" t="e">
        <f>VLOOKUP(P278,BG320:BI325,3,TRUE)</f>
        <v>#N/A</v>
      </c>
      <c r="V278" s="468"/>
      <c r="W278" s="468"/>
      <c r="X278" s="468"/>
      <c r="Y278" s="468"/>
      <c r="Z278" s="468"/>
      <c r="AA278" s="468"/>
      <c r="AB278" s="468"/>
      <c r="AC278" s="468"/>
      <c r="AD278" s="468"/>
      <c r="AE278" s="468"/>
      <c r="AF278" s="468"/>
      <c r="AG278" s="468"/>
      <c r="AH278" s="468"/>
      <c r="AI278" s="468"/>
    </row>
    <row r="279" spans="1:35" ht="15">
      <c r="A279" s="2">
        <v>10</v>
      </c>
      <c r="B279" s="469">
        <f t="shared" si="51"/>
        <v>0</v>
      </c>
      <c r="C279" s="470">
        <f t="shared" si="51"/>
        <v>0</v>
      </c>
      <c r="D279" s="470" t="str">
        <f t="shared" si="51"/>
        <v> </v>
      </c>
      <c r="E279" s="469">
        <f t="shared" si="52"/>
        <v>0</v>
      </c>
      <c r="F279" s="470">
        <f t="shared" si="52"/>
        <v>0</v>
      </c>
      <c r="G279" s="470" t="str">
        <f t="shared" si="52"/>
        <v> </v>
      </c>
      <c r="H279" s="469">
        <f t="shared" si="53"/>
        <v>0</v>
      </c>
      <c r="I279" s="470">
        <f t="shared" si="53"/>
        <v>0</v>
      </c>
      <c r="J279" s="470" t="str">
        <f t="shared" si="53"/>
        <v> </v>
      </c>
      <c r="K279" s="429">
        <v>10</v>
      </c>
      <c r="L279" s="471">
        <f t="shared" si="56"/>
        <v>39904</v>
      </c>
      <c r="M279" s="471"/>
      <c r="N279" s="471"/>
      <c r="O279" s="429">
        <f t="shared" si="57"/>
        <v>0</v>
      </c>
      <c r="P279" s="420">
        <f t="shared" si="54"/>
        <v>0</v>
      </c>
      <c r="Q279" s="472">
        <f t="shared" si="55"/>
        <v>0</v>
      </c>
      <c r="R279" s="472" t="str">
        <f t="shared" si="58"/>
        <v> </v>
      </c>
      <c r="S279" s="468" t="e">
        <f>VLOOKUP(B279,BE305:BG310,3,TRUE)</f>
        <v>#N/A</v>
      </c>
      <c r="T279" s="468"/>
      <c r="U279" s="473" t="e">
        <f>VLOOKUP(P279,BG320:BI325,3,TRUE)</f>
        <v>#N/A</v>
      </c>
      <c r="V279" s="468"/>
      <c r="W279" s="468"/>
      <c r="X279" s="468"/>
      <c r="Y279" s="468"/>
      <c r="Z279" s="468"/>
      <c r="AA279" s="468"/>
      <c r="AB279" s="468"/>
      <c r="AC279" s="468"/>
      <c r="AD279" s="468"/>
      <c r="AE279" s="468"/>
      <c r="AF279" s="468"/>
      <c r="AG279" s="468"/>
      <c r="AH279" s="468"/>
      <c r="AI279" s="468"/>
    </row>
    <row r="280" spans="1:35" ht="15">
      <c r="A280" s="2">
        <v>11</v>
      </c>
      <c r="B280" s="469">
        <f t="shared" si="51"/>
        <v>0</v>
      </c>
      <c r="C280" s="470">
        <f t="shared" si="51"/>
        <v>0</v>
      </c>
      <c r="D280" s="470" t="str">
        <f t="shared" si="51"/>
        <v> </v>
      </c>
      <c r="E280" s="469">
        <f t="shared" si="52"/>
        <v>0</v>
      </c>
      <c r="F280" s="470">
        <f t="shared" si="52"/>
        <v>0</v>
      </c>
      <c r="G280" s="470" t="str">
        <f t="shared" si="52"/>
        <v> </v>
      </c>
      <c r="H280" s="469">
        <f t="shared" si="53"/>
        <v>0</v>
      </c>
      <c r="I280" s="470">
        <f t="shared" si="53"/>
        <v>0</v>
      </c>
      <c r="J280" s="470" t="str">
        <f t="shared" si="53"/>
        <v> </v>
      </c>
      <c r="K280" s="429">
        <v>11</v>
      </c>
      <c r="L280" s="471">
        <f t="shared" si="56"/>
        <v>39904</v>
      </c>
      <c r="M280" s="471"/>
      <c r="N280" s="471"/>
      <c r="O280" s="429">
        <f t="shared" si="57"/>
        <v>0</v>
      </c>
      <c r="P280" s="420">
        <f t="shared" si="54"/>
        <v>0</v>
      </c>
      <c r="Q280" s="472">
        <f t="shared" si="55"/>
        <v>0</v>
      </c>
      <c r="R280" s="472" t="str">
        <f t="shared" si="58"/>
        <v> </v>
      </c>
      <c r="S280" s="468" t="e">
        <f>VLOOKUP(B280,BE305:BG310,3,TRUE)</f>
        <v>#N/A</v>
      </c>
      <c r="T280" s="468"/>
      <c r="U280" s="473" t="e">
        <f>VLOOKUP(P280,BG320:BI325,3,TRUE)</f>
        <v>#N/A</v>
      </c>
      <c r="V280" s="468"/>
      <c r="W280" s="468"/>
      <c r="X280" s="468"/>
      <c r="Y280" s="468"/>
      <c r="Z280" s="468"/>
      <c r="AA280" s="468"/>
      <c r="AB280" s="468"/>
      <c r="AC280" s="468"/>
      <c r="AD280" s="468"/>
      <c r="AE280" s="468"/>
      <c r="AF280" s="468"/>
      <c r="AG280" s="468"/>
      <c r="AH280" s="468"/>
      <c r="AI280" s="468"/>
    </row>
    <row r="281" spans="1:35" ht="15">
      <c r="A281" s="2">
        <v>12</v>
      </c>
      <c r="B281" s="469">
        <f t="shared" si="51"/>
        <v>0</v>
      </c>
      <c r="C281" s="470">
        <f t="shared" si="51"/>
        <v>0</v>
      </c>
      <c r="D281" s="470" t="str">
        <f t="shared" si="51"/>
        <v> </v>
      </c>
      <c r="E281" s="469">
        <f t="shared" si="52"/>
        <v>0</v>
      </c>
      <c r="F281" s="470">
        <f t="shared" si="52"/>
        <v>0</v>
      </c>
      <c r="G281" s="470" t="str">
        <f t="shared" si="52"/>
        <v> </v>
      </c>
      <c r="H281" s="469">
        <f t="shared" si="53"/>
        <v>0</v>
      </c>
      <c r="I281" s="470">
        <f t="shared" si="53"/>
        <v>0</v>
      </c>
      <c r="J281" s="470" t="str">
        <f t="shared" si="53"/>
        <v> </v>
      </c>
      <c r="K281" s="429">
        <v>12</v>
      </c>
      <c r="L281" s="471">
        <f t="shared" si="56"/>
        <v>39904</v>
      </c>
      <c r="M281" s="471"/>
      <c r="N281" s="471"/>
      <c r="O281" s="429">
        <f t="shared" si="57"/>
        <v>0</v>
      </c>
      <c r="P281" s="420">
        <f t="shared" si="54"/>
        <v>0</v>
      </c>
      <c r="Q281" s="472">
        <f t="shared" si="55"/>
        <v>0</v>
      </c>
      <c r="R281" s="472" t="str">
        <f t="shared" si="58"/>
        <v> </v>
      </c>
      <c r="S281" s="468" t="e">
        <f>VLOOKUP(B281,BE305:BG310,3,TRUE)</f>
        <v>#N/A</v>
      </c>
      <c r="T281" s="468"/>
      <c r="U281" s="473" t="e">
        <f>VLOOKUP(P281,BG320:BI325,3,TRUE)</f>
        <v>#N/A</v>
      </c>
      <c r="V281" s="468"/>
      <c r="W281" s="468"/>
      <c r="X281" s="468"/>
      <c r="Y281" s="468"/>
      <c r="Z281" s="468"/>
      <c r="AA281" s="468"/>
      <c r="AB281" s="468"/>
      <c r="AC281" s="468"/>
      <c r="AD281" s="468"/>
      <c r="AE281" s="468"/>
      <c r="AF281" s="468"/>
      <c r="AG281" s="468"/>
      <c r="AH281" s="468"/>
      <c r="AI281" s="468"/>
    </row>
    <row r="282" spans="1:35" ht="15">
      <c r="A282" s="2">
        <v>13</v>
      </c>
      <c r="B282" s="469">
        <f t="shared" si="51"/>
        <v>0</v>
      </c>
      <c r="C282" s="470">
        <f t="shared" si="51"/>
        <v>0</v>
      </c>
      <c r="D282" s="470" t="str">
        <f t="shared" si="51"/>
        <v> </v>
      </c>
      <c r="E282" s="469">
        <f t="shared" si="52"/>
        <v>0</v>
      </c>
      <c r="F282" s="470">
        <f t="shared" si="52"/>
        <v>0</v>
      </c>
      <c r="G282" s="470" t="str">
        <f t="shared" si="52"/>
        <v> </v>
      </c>
      <c r="H282" s="469">
        <f t="shared" si="53"/>
        <v>0</v>
      </c>
      <c r="I282" s="470">
        <f t="shared" si="53"/>
        <v>0</v>
      </c>
      <c r="J282" s="470" t="str">
        <f t="shared" si="53"/>
        <v> </v>
      </c>
      <c r="K282" s="429">
        <v>13</v>
      </c>
      <c r="L282" s="471">
        <f t="shared" si="56"/>
        <v>39904</v>
      </c>
      <c r="M282" s="471"/>
      <c r="N282" s="471"/>
      <c r="O282" s="429">
        <f t="shared" si="57"/>
        <v>0</v>
      </c>
      <c r="P282" s="420">
        <f t="shared" si="54"/>
        <v>0</v>
      </c>
      <c r="Q282" s="472">
        <f t="shared" si="55"/>
        <v>0</v>
      </c>
      <c r="R282" s="472" t="str">
        <f t="shared" si="58"/>
        <v> </v>
      </c>
      <c r="S282" s="468" t="e">
        <f>VLOOKUP(B282,BE305:BG310,3,TRUE)</f>
        <v>#N/A</v>
      </c>
      <c r="T282" s="468"/>
      <c r="U282" s="473" t="e">
        <f>VLOOKUP(P282,BG320:BI325,3,TRUE)</f>
        <v>#N/A</v>
      </c>
      <c r="V282" s="468"/>
      <c r="W282" s="468"/>
      <c r="X282" s="468"/>
      <c r="Y282" s="468"/>
      <c r="Z282" s="468"/>
      <c r="AA282" s="468"/>
      <c r="AB282" s="468"/>
      <c r="AC282" s="468"/>
      <c r="AD282" s="468"/>
      <c r="AE282" s="468"/>
      <c r="AF282" s="468"/>
      <c r="AG282" s="468"/>
      <c r="AH282" s="468"/>
      <c r="AI282" s="468"/>
    </row>
    <row r="283" spans="1:35" ht="15">
      <c r="A283" s="2">
        <v>14</v>
      </c>
      <c r="B283" s="469">
        <f t="shared" si="51"/>
        <v>0</v>
      </c>
      <c r="C283" s="470">
        <f t="shared" si="51"/>
        <v>0</v>
      </c>
      <c r="D283" s="470" t="str">
        <f t="shared" si="51"/>
        <v> </v>
      </c>
      <c r="E283" s="469">
        <f t="shared" si="52"/>
        <v>0</v>
      </c>
      <c r="F283" s="470">
        <f t="shared" si="52"/>
        <v>0</v>
      </c>
      <c r="G283" s="470" t="str">
        <f t="shared" si="52"/>
        <v> </v>
      </c>
      <c r="H283" s="469">
        <f t="shared" si="53"/>
        <v>0</v>
      </c>
      <c r="I283" s="470">
        <f t="shared" si="53"/>
        <v>0</v>
      </c>
      <c r="J283" s="470" t="str">
        <f t="shared" si="53"/>
        <v> </v>
      </c>
      <c r="K283" s="429">
        <v>14</v>
      </c>
      <c r="L283" s="471">
        <f t="shared" si="56"/>
        <v>39904</v>
      </c>
      <c r="M283" s="471"/>
      <c r="N283" s="471"/>
      <c r="O283" s="429">
        <f t="shared" si="57"/>
        <v>0</v>
      </c>
      <c r="P283" s="420">
        <f t="shared" si="54"/>
        <v>0</v>
      </c>
      <c r="Q283" s="472">
        <f t="shared" si="55"/>
        <v>0</v>
      </c>
      <c r="R283" s="472" t="str">
        <f t="shared" si="58"/>
        <v> </v>
      </c>
      <c r="S283" s="468" t="e">
        <f>VLOOKUP(B283,BE305:BG310,3,TRUE)</f>
        <v>#N/A</v>
      </c>
      <c r="T283" s="468"/>
      <c r="U283" s="473" t="e">
        <f>VLOOKUP(P283,BG320:BI325,3,TRUE)</f>
        <v>#N/A</v>
      </c>
      <c r="V283" s="468"/>
      <c r="W283" s="468"/>
      <c r="X283" s="468"/>
      <c r="Y283" s="468"/>
      <c r="Z283" s="468"/>
      <c r="AA283" s="468"/>
      <c r="AB283" s="468"/>
      <c r="AC283" s="468"/>
      <c r="AD283" s="468"/>
      <c r="AE283" s="468"/>
      <c r="AF283" s="468"/>
      <c r="AG283" s="468"/>
      <c r="AH283" s="468"/>
      <c r="AI283" s="468"/>
    </row>
    <row r="284" spans="1:35" ht="15">
      <c r="A284" s="2">
        <v>15</v>
      </c>
      <c r="B284" s="469">
        <f t="shared" si="51"/>
        <v>0</v>
      </c>
      <c r="C284" s="470">
        <f t="shared" si="51"/>
        <v>0</v>
      </c>
      <c r="D284" s="470" t="str">
        <f t="shared" si="51"/>
        <v> </v>
      </c>
      <c r="E284" s="469">
        <f t="shared" si="52"/>
        <v>0</v>
      </c>
      <c r="F284" s="470">
        <f t="shared" si="52"/>
        <v>0</v>
      </c>
      <c r="G284" s="470" t="str">
        <f t="shared" si="52"/>
        <v> </v>
      </c>
      <c r="H284" s="469">
        <f t="shared" si="53"/>
        <v>0</v>
      </c>
      <c r="I284" s="470">
        <f t="shared" si="53"/>
        <v>0</v>
      </c>
      <c r="J284" s="470" t="str">
        <f t="shared" si="53"/>
        <v> </v>
      </c>
      <c r="K284" s="429">
        <v>15</v>
      </c>
      <c r="L284" s="471">
        <f t="shared" si="56"/>
        <v>39904</v>
      </c>
      <c r="M284" s="471"/>
      <c r="N284" s="471"/>
      <c r="O284" s="429">
        <f t="shared" si="57"/>
        <v>0</v>
      </c>
      <c r="P284" s="420">
        <f t="shared" si="54"/>
        <v>0</v>
      </c>
      <c r="Q284" s="472">
        <f t="shared" si="55"/>
        <v>0</v>
      </c>
      <c r="R284" s="472" t="str">
        <f t="shared" si="58"/>
        <v> </v>
      </c>
      <c r="S284" s="468" t="e">
        <f>VLOOKUP(B284,BE305:BG310,3,TRUE)</f>
        <v>#N/A</v>
      </c>
      <c r="T284" s="468"/>
      <c r="U284" s="473" t="e">
        <f>VLOOKUP(P284,BG320:BI325,3,TRUE)</f>
        <v>#N/A</v>
      </c>
      <c r="V284" s="468"/>
      <c r="W284" s="468"/>
      <c r="X284" s="468"/>
      <c r="Y284" s="468"/>
      <c r="Z284" s="468"/>
      <c r="AA284" s="468"/>
      <c r="AB284" s="468"/>
      <c r="AC284" s="468"/>
      <c r="AD284" s="468"/>
      <c r="AE284" s="468"/>
      <c r="AF284" s="468"/>
      <c r="AG284" s="468"/>
      <c r="AH284" s="468"/>
      <c r="AI284" s="468"/>
    </row>
    <row r="285" spans="1:35" ht="15">
      <c r="A285" s="2">
        <v>16</v>
      </c>
      <c r="B285" s="469">
        <f t="shared" si="51"/>
        <v>0</v>
      </c>
      <c r="C285" s="470">
        <f t="shared" si="51"/>
        <v>0</v>
      </c>
      <c r="D285" s="470" t="str">
        <f t="shared" si="51"/>
        <v> </v>
      </c>
      <c r="E285" s="469">
        <f t="shared" si="52"/>
        <v>0</v>
      </c>
      <c r="F285" s="470">
        <f t="shared" si="52"/>
        <v>0</v>
      </c>
      <c r="G285" s="470" t="str">
        <f t="shared" si="52"/>
        <v> </v>
      </c>
      <c r="H285" s="469">
        <f t="shared" si="53"/>
        <v>0</v>
      </c>
      <c r="I285" s="470">
        <f t="shared" si="53"/>
        <v>0</v>
      </c>
      <c r="J285" s="470" t="str">
        <f t="shared" si="53"/>
        <v> </v>
      </c>
      <c r="K285" s="429">
        <v>16</v>
      </c>
      <c r="L285" s="471">
        <f t="shared" si="56"/>
        <v>39904</v>
      </c>
      <c r="M285" s="471"/>
      <c r="N285" s="471"/>
      <c r="O285" s="429">
        <f t="shared" si="57"/>
        <v>0</v>
      </c>
      <c r="P285" s="420">
        <f t="shared" si="54"/>
        <v>0</v>
      </c>
      <c r="Q285" s="472">
        <f t="shared" si="55"/>
        <v>0</v>
      </c>
      <c r="R285" s="472" t="str">
        <f t="shared" si="58"/>
        <v> </v>
      </c>
      <c r="S285" s="468" t="e">
        <f>VLOOKUP(B285,BE305:BG310,3,TRUE)</f>
        <v>#N/A</v>
      </c>
      <c r="T285" s="468"/>
      <c r="U285" s="473" t="e">
        <f>VLOOKUP(P285,BG320:BI325,3,TRUE)</f>
        <v>#N/A</v>
      </c>
      <c r="V285" s="468"/>
      <c r="W285" s="468"/>
      <c r="X285" s="468"/>
      <c r="Y285" s="468"/>
      <c r="Z285" s="468"/>
      <c r="AA285" s="468"/>
      <c r="AB285" s="468"/>
      <c r="AC285" s="468"/>
      <c r="AD285" s="468"/>
      <c r="AE285" s="468"/>
      <c r="AF285" s="468"/>
      <c r="AG285" s="468"/>
      <c r="AH285" s="468"/>
      <c r="AI285" s="468"/>
    </row>
    <row r="286" spans="1:35" ht="15">
      <c r="A286" s="2">
        <v>17</v>
      </c>
      <c r="B286" s="469">
        <f aca="true" t="shared" si="59" ref="B286:D292">B110</f>
        <v>0</v>
      </c>
      <c r="C286" s="470">
        <f t="shared" si="59"/>
        <v>0</v>
      </c>
      <c r="D286" s="470" t="str">
        <f t="shared" si="59"/>
        <v> </v>
      </c>
      <c r="E286" s="469">
        <f t="shared" si="52"/>
        <v>0</v>
      </c>
      <c r="F286" s="470">
        <f t="shared" si="52"/>
        <v>0</v>
      </c>
      <c r="G286" s="470" t="str">
        <f t="shared" si="52"/>
        <v> </v>
      </c>
      <c r="H286" s="469">
        <f t="shared" si="53"/>
        <v>0</v>
      </c>
      <c r="I286" s="470">
        <f t="shared" si="53"/>
        <v>0</v>
      </c>
      <c r="J286" s="470" t="str">
        <f t="shared" si="53"/>
        <v> </v>
      </c>
      <c r="K286" s="429">
        <v>17</v>
      </c>
      <c r="L286" s="471">
        <f t="shared" si="56"/>
        <v>39904</v>
      </c>
      <c r="M286" s="471"/>
      <c r="N286" s="471"/>
      <c r="O286" s="429">
        <f t="shared" si="57"/>
        <v>0</v>
      </c>
      <c r="P286" s="420">
        <f t="shared" si="54"/>
        <v>0</v>
      </c>
      <c r="Q286" s="472">
        <f t="shared" si="55"/>
        <v>0</v>
      </c>
      <c r="R286" s="472" t="str">
        <f t="shared" si="58"/>
        <v> </v>
      </c>
      <c r="S286" s="468" t="e">
        <f>VLOOKUP(B286,BE305:BG310,3,TRUE)</f>
        <v>#N/A</v>
      </c>
      <c r="T286" s="468"/>
      <c r="U286" s="473" t="e">
        <f>VLOOKUP(P286,BG320:BI325,3,TRUE)</f>
        <v>#N/A</v>
      </c>
      <c r="V286" s="468"/>
      <c r="W286" s="468"/>
      <c r="X286" s="468"/>
      <c r="Y286" s="468"/>
      <c r="Z286" s="468"/>
      <c r="AA286" s="468"/>
      <c r="AB286" s="468"/>
      <c r="AC286" s="468"/>
      <c r="AD286" s="468"/>
      <c r="AE286" s="468"/>
      <c r="AF286" s="468"/>
      <c r="AG286" s="468"/>
      <c r="AH286" s="468"/>
      <c r="AI286" s="468"/>
    </row>
    <row r="287" spans="1:35" ht="15">
      <c r="A287" s="2">
        <v>18</v>
      </c>
      <c r="B287" s="469">
        <f t="shared" si="59"/>
        <v>0</v>
      </c>
      <c r="C287" s="470">
        <f t="shared" si="59"/>
        <v>0</v>
      </c>
      <c r="D287" s="470" t="str">
        <f t="shared" si="59"/>
        <v> </v>
      </c>
      <c r="E287" s="469">
        <f t="shared" si="52"/>
        <v>0</v>
      </c>
      <c r="F287" s="470">
        <f t="shared" si="52"/>
        <v>0</v>
      </c>
      <c r="G287" s="470" t="str">
        <f t="shared" si="52"/>
        <v> </v>
      </c>
      <c r="H287" s="469">
        <f t="shared" si="53"/>
        <v>0</v>
      </c>
      <c r="I287" s="470">
        <f t="shared" si="53"/>
        <v>0</v>
      </c>
      <c r="J287" s="470" t="str">
        <f t="shared" si="53"/>
        <v> </v>
      </c>
      <c r="K287" s="429">
        <v>18</v>
      </c>
      <c r="L287" s="471">
        <f t="shared" si="56"/>
        <v>39904</v>
      </c>
      <c r="M287" s="471"/>
      <c r="N287" s="471"/>
      <c r="O287" s="429">
        <f t="shared" si="57"/>
        <v>0</v>
      </c>
      <c r="P287" s="420">
        <f t="shared" si="54"/>
        <v>0</v>
      </c>
      <c r="Q287" s="472">
        <f t="shared" si="55"/>
        <v>0</v>
      </c>
      <c r="R287" s="472" t="str">
        <f t="shared" si="58"/>
        <v> </v>
      </c>
      <c r="S287" s="468" t="e">
        <f>VLOOKUP(B287,BE305:BG310,3,TRUE)</f>
        <v>#N/A</v>
      </c>
      <c r="T287" s="468"/>
      <c r="U287" s="473" t="e">
        <f>VLOOKUP(P287,BG320:BI325,3,TRUE)</f>
        <v>#N/A</v>
      </c>
      <c r="V287" s="468"/>
      <c r="W287" s="468"/>
      <c r="X287" s="468"/>
      <c r="Y287" s="468"/>
      <c r="Z287" s="468"/>
      <c r="AA287" s="468"/>
      <c r="AB287" s="468"/>
      <c r="AC287" s="468"/>
      <c r="AD287" s="468"/>
      <c r="AE287" s="468"/>
      <c r="AF287" s="468"/>
      <c r="AG287" s="468"/>
      <c r="AH287" s="468"/>
      <c r="AI287" s="468"/>
    </row>
    <row r="288" spans="1:35" ht="15">
      <c r="A288" s="2">
        <v>19</v>
      </c>
      <c r="B288" s="469">
        <f t="shared" si="59"/>
        <v>0</v>
      </c>
      <c r="C288" s="470">
        <f t="shared" si="59"/>
        <v>0</v>
      </c>
      <c r="D288" s="470" t="str">
        <f t="shared" si="59"/>
        <v> </v>
      </c>
      <c r="E288" s="469">
        <f t="shared" si="52"/>
        <v>0</v>
      </c>
      <c r="F288" s="470">
        <f t="shared" si="52"/>
        <v>0</v>
      </c>
      <c r="G288" s="470" t="str">
        <f t="shared" si="52"/>
        <v> </v>
      </c>
      <c r="H288" s="469">
        <f t="shared" si="53"/>
        <v>0</v>
      </c>
      <c r="I288" s="470">
        <f t="shared" si="53"/>
        <v>0</v>
      </c>
      <c r="J288" s="470" t="str">
        <f t="shared" si="53"/>
        <v> </v>
      </c>
      <c r="K288" s="429">
        <v>19</v>
      </c>
      <c r="L288" s="471">
        <f t="shared" si="56"/>
        <v>39904</v>
      </c>
      <c r="M288" s="471"/>
      <c r="N288" s="471"/>
      <c r="O288" s="429">
        <f t="shared" si="57"/>
        <v>0</v>
      </c>
      <c r="P288" s="420">
        <f t="shared" si="54"/>
        <v>0</v>
      </c>
      <c r="Q288" s="472">
        <f t="shared" si="55"/>
        <v>0</v>
      </c>
      <c r="R288" s="472" t="str">
        <f t="shared" si="58"/>
        <v> </v>
      </c>
      <c r="S288" s="468" t="e">
        <f>VLOOKUP(B288,BE305:BG310,3,TRUE)</f>
        <v>#N/A</v>
      </c>
      <c r="T288" s="468"/>
      <c r="U288" s="473" t="e">
        <f>VLOOKUP(P288,BG320:BI325,3,TRUE)</f>
        <v>#N/A</v>
      </c>
      <c r="V288" s="468"/>
      <c r="W288" s="468"/>
      <c r="X288" s="468"/>
      <c r="Y288" s="468"/>
      <c r="Z288" s="468"/>
      <c r="AA288" s="468"/>
      <c r="AB288" s="468"/>
      <c r="AC288" s="468"/>
      <c r="AD288" s="468"/>
      <c r="AE288" s="468"/>
      <c r="AF288" s="468"/>
      <c r="AG288" s="468"/>
      <c r="AH288" s="468"/>
      <c r="AI288" s="468"/>
    </row>
    <row r="289" spans="1:35" ht="15">
      <c r="A289" s="2">
        <v>20</v>
      </c>
      <c r="B289" s="469">
        <f t="shared" si="59"/>
        <v>0</v>
      </c>
      <c r="C289" s="470">
        <f t="shared" si="59"/>
        <v>0</v>
      </c>
      <c r="D289" s="470" t="str">
        <f t="shared" si="59"/>
        <v> </v>
      </c>
      <c r="E289" s="469">
        <f t="shared" si="52"/>
        <v>0</v>
      </c>
      <c r="F289" s="470">
        <f t="shared" si="52"/>
        <v>0</v>
      </c>
      <c r="G289" s="470" t="str">
        <f t="shared" si="52"/>
        <v> </v>
      </c>
      <c r="H289" s="469">
        <f t="shared" si="53"/>
        <v>0</v>
      </c>
      <c r="I289" s="470">
        <f t="shared" si="53"/>
        <v>0</v>
      </c>
      <c r="J289" s="470" t="str">
        <f t="shared" si="53"/>
        <v> </v>
      </c>
      <c r="K289" s="429">
        <v>20</v>
      </c>
      <c r="L289" s="471">
        <f t="shared" si="56"/>
        <v>39904</v>
      </c>
      <c r="M289" s="471"/>
      <c r="N289" s="471"/>
      <c r="O289" s="429">
        <f t="shared" si="57"/>
        <v>0</v>
      </c>
      <c r="P289" s="420">
        <f t="shared" si="54"/>
        <v>0</v>
      </c>
      <c r="Q289" s="472">
        <f t="shared" si="55"/>
        <v>0</v>
      </c>
      <c r="R289" s="472" t="str">
        <f t="shared" si="58"/>
        <v> </v>
      </c>
      <c r="S289" s="468" t="e">
        <f>VLOOKUP(B289,BE305:BG310,3,TRUE)</f>
        <v>#N/A</v>
      </c>
      <c r="T289" s="468"/>
      <c r="U289" s="473" t="e">
        <f>VLOOKUP(P289,BG320:BI325,3,TRUE)</f>
        <v>#N/A</v>
      </c>
      <c r="V289" s="468"/>
      <c r="W289" s="468"/>
      <c r="X289" s="468"/>
      <c r="Y289" s="468"/>
      <c r="Z289" s="468"/>
      <c r="AA289" s="468"/>
      <c r="AB289" s="468"/>
      <c r="AC289" s="468"/>
      <c r="AD289" s="468"/>
      <c r="AE289" s="468"/>
      <c r="AF289" s="468"/>
      <c r="AG289" s="468"/>
      <c r="AH289" s="468"/>
      <c r="AI289" s="468"/>
    </row>
    <row r="290" spans="1:35" ht="15">
      <c r="A290" s="2">
        <v>21</v>
      </c>
      <c r="B290" s="469">
        <f t="shared" si="59"/>
        <v>0</v>
      </c>
      <c r="C290" s="470">
        <f t="shared" si="59"/>
        <v>0</v>
      </c>
      <c r="D290" s="470" t="str">
        <f t="shared" si="59"/>
        <v> </v>
      </c>
      <c r="E290" s="469">
        <f t="shared" si="52"/>
        <v>0</v>
      </c>
      <c r="F290" s="470">
        <f t="shared" si="52"/>
        <v>0</v>
      </c>
      <c r="G290" s="470" t="str">
        <f t="shared" si="52"/>
        <v> </v>
      </c>
      <c r="H290" s="469">
        <f t="shared" si="53"/>
        <v>0</v>
      </c>
      <c r="I290" s="470">
        <f t="shared" si="53"/>
        <v>0</v>
      </c>
      <c r="J290" s="470" t="str">
        <f t="shared" si="53"/>
        <v> </v>
      </c>
      <c r="K290" s="429">
        <v>21</v>
      </c>
      <c r="L290" s="471">
        <f t="shared" si="56"/>
        <v>39904</v>
      </c>
      <c r="M290" s="471"/>
      <c r="N290" s="471"/>
      <c r="O290" s="429">
        <f t="shared" si="57"/>
        <v>0</v>
      </c>
      <c r="P290" s="420">
        <f t="shared" si="54"/>
        <v>0</v>
      </c>
      <c r="Q290" s="472">
        <f t="shared" si="55"/>
        <v>0</v>
      </c>
      <c r="R290" s="472" t="str">
        <f t="shared" si="58"/>
        <v> </v>
      </c>
      <c r="S290" s="468" t="e">
        <f>VLOOKUP(B290,BE305:BG310,3,TRUE)</f>
        <v>#N/A</v>
      </c>
      <c r="T290" s="468"/>
      <c r="U290" s="473" t="e">
        <f>VLOOKUP(P290,BG320:BI325,3,TRUE)</f>
        <v>#N/A</v>
      </c>
      <c r="V290" s="468"/>
      <c r="W290" s="468"/>
      <c r="X290" s="468"/>
      <c r="Y290" s="468"/>
      <c r="Z290" s="468"/>
      <c r="AA290" s="468"/>
      <c r="AB290" s="468"/>
      <c r="AC290" s="468"/>
      <c r="AD290" s="468"/>
      <c r="AE290" s="468"/>
      <c r="AF290" s="468"/>
      <c r="AG290" s="468"/>
      <c r="AH290" s="468"/>
      <c r="AI290" s="468"/>
    </row>
    <row r="291" spans="1:35" ht="15">
      <c r="A291" s="2">
        <v>22</v>
      </c>
      <c r="B291" s="469">
        <f t="shared" si="59"/>
        <v>0</v>
      </c>
      <c r="C291" s="470">
        <f t="shared" si="59"/>
        <v>0</v>
      </c>
      <c r="D291" s="470" t="str">
        <f t="shared" si="59"/>
        <v> </v>
      </c>
      <c r="E291" s="469">
        <f t="shared" si="52"/>
        <v>0</v>
      </c>
      <c r="F291" s="470">
        <f t="shared" si="52"/>
        <v>0</v>
      </c>
      <c r="G291" s="470" t="str">
        <f t="shared" si="52"/>
        <v> </v>
      </c>
      <c r="H291" s="469">
        <f t="shared" si="53"/>
        <v>0</v>
      </c>
      <c r="I291" s="470">
        <f t="shared" si="53"/>
        <v>0</v>
      </c>
      <c r="J291" s="470" t="str">
        <f t="shared" si="53"/>
        <v> </v>
      </c>
      <c r="K291" s="429">
        <v>22</v>
      </c>
      <c r="L291" s="471">
        <f t="shared" si="56"/>
        <v>39904</v>
      </c>
      <c r="M291" s="471"/>
      <c r="N291" s="471"/>
      <c r="O291" s="429">
        <f t="shared" si="57"/>
        <v>0</v>
      </c>
      <c r="P291" s="420">
        <f t="shared" si="54"/>
        <v>0</v>
      </c>
      <c r="Q291" s="472">
        <f t="shared" si="55"/>
        <v>0</v>
      </c>
      <c r="R291" s="472" t="str">
        <f t="shared" si="58"/>
        <v> </v>
      </c>
      <c r="S291" s="468" t="e">
        <f>VLOOKUP(B291,BE305:BG310,3,TRUE)</f>
        <v>#N/A</v>
      </c>
      <c r="T291" s="468"/>
      <c r="U291" s="473" t="e">
        <f>VLOOKUP(P291,BG320:BI325,3,TRUE)</f>
        <v>#N/A</v>
      </c>
      <c r="V291" s="468"/>
      <c r="W291" s="468"/>
      <c r="X291" s="468"/>
      <c r="Y291" s="468"/>
      <c r="Z291" s="468"/>
      <c r="AA291" s="468"/>
      <c r="AB291" s="468"/>
      <c r="AC291" s="468"/>
      <c r="AD291" s="468"/>
      <c r="AE291" s="468"/>
      <c r="AF291" s="468"/>
      <c r="AG291" s="468"/>
      <c r="AH291" s="468"/>
      <c r="AI291" s="468"/>
    </row>
    <row r="292" spans="1:35" ht="15">
      <c r="A292" s="2">
        <v>23</v>
      </c>
      <c r="B292" s="469">
        <f t="shared" si="59"/>
        <v>0</v>
      </c>
      <c r="C292" s="470">
        <f t="shared" si="59"/>
        <v>0</v>
      </c>
      <c r="D292" s="470" t="str">
        <f t="shared" si="59"/>
        <v> </v>
      </c>
      <c r="E292" s="469">
        <f t="shared" si="52"/>
        <v>0</v>
      </c>
      <c r="F292" s="470">
        <f t="shared" si="52"/>
        <v>0</v>
      </c>
      <c r="G292" s="470" t="str">
        <f t="shared" si="52"/>
        <v> </v>
      </c>
      <c r="H292" s="469">
        <f t="shared" si="53"/>
        <v>0</v>
      </c>
      <c r="I292" s="470">
        <f t="shared" si="53"/>
        <v>0</v>
      </c>
      <c r="J292" s="470" t="str">
        <f t="shared" si="53"/>
        <v> </v>
      </c>
      <c r="K292" s="429">
        <v>23</v>
      </c>
      <c r="L292" s="471">
        <f t="shared" si="56"/>
        <v>39904</v>
      </c>
      <c r="M292" s="471"/>
      <c r="N292" s="471"/>
      <c r="O292" s="429">
        <f t="shared" si="57"/>
        <v>0</v>
      </c>
      <c r="P292" s="420">
        <f t="shared" si="54"/>
        <v>0</v>
      </c>
      <c r="Q292" s="472">
        <f t="shared" si="55"/>
        <v>0</v>
      </c>
      <c r="R292" s="472" t="str">
        <f t="shared" si="58"/>
        <v> </v>
      </c>
      <c r="S292" s="468" t="e">
        <f>VLOOKUP(B292,BE305:BG310,3,TRUE)</f>
        <v>#N/A</v>
      </c>
      <c r="T292" s="468"/>
      <c r="U292" s="473" t="e">
        <f>VLOOKUP(P292,BG320:BI325,3,TRUE)</f>
        <v>#N/A</v>
      </c>
      <c r="V292" s="468"/>
      <c r="W292" s="468"/>
      <c r="X292" s="468"/>
      <c r="Y292" s="468"/>
      <c r="Z292" s="468"/>
      <c r="AA292" s="468"/>
      <c r="AB292" s="468"/>
      <c r="AC292" s="468"/>
      <c r="AD292" s="468"/>
      <c r="AE292" s="468"/>
      <c r="AF292" s="468"/>
      <c r="AG292" s="468"/>
      <c r="AH292" s="468"/>
      <c r="AI292" s="468"/>
    </row>
    <row r="293" spans="1:35" ht="12.75">
      <c r="A293" s="2"/>
      <c r="B293" s="468"/>
      <c r="C293" s="2"/>
      <c r="D293" s="2"/>
      <c r="E293" s="2"/>
      <c r="F293" s="2"/>
      <c r="G293" s="2"/>
      <c r="H293" s="468"/>
      <c r="I293" s="468"/>
      <c r="J293" s="468"/>
      <c r="K293" s="468"/>
      <c r="L293" s="468"/>
      <c r="M293" s="468"/>
      <c r="N293" s="468"/>
      <c r="O293" s="468"/>
      <c r="P293" s="468"/>
      <c r="Q293" s="468"/>
      <c r="R293" s="468"/>
      <c r="S293" s="468"/>
      <c r="T293" s="468"/>
      <c r="U293" s="468"/>
      <c r="V293" s="468"/>
      <c r="W293" s="468"/>
      <c r="X293" s="468"/>
      <c r="Y293" s="468"/>
      <c r="Z293" s="468"/>
      <c r="AA293" s="468"/>
      <c r="AB293" s="468"/>
      <c r="AC293" s="468"/>
      <c r="AD293" s="468"/>
      <c r="AE293" s="468"/>
      <c r="AF293" s="468"/>
      <c r="AG293" s="468"/>
      <c r="AH293" s="468"/>
      <c r="AI293" s="468"/>
    </row>
    <row r="294" spans="1:35" ht="12.75">
      <c r="A294" s="2"/>
      <c r="B294" s="468"/>
      <c r="C294" s="2"/>
      <c r="D294" s="2"/>
      <c r="E294" s="2"/>
      <c r="F294" s="2"/>
      <c r="G294" s="2"/>
      <c r="H294" s="468"/>
      <c r="I294" s="468"/>
      <c r="J294" s="468"/>
      <c r="K294" s="468"/>
      <c r="L294" s="468"/>
      <c r="M294" s="468"/>
      <c r="N294" s="468"/>
      <c r="O294" s="468"/>
      <c r="P294" s="468"/>
      <c r="Q294" s="468"/>
      <c r="R294" s="468"/>
      <c r="S294" s="468"/>
      <c r="T294" s="468"/>
      <c r="U294" s="468"/>
      <c r="V294" s="468"/>
      <c r="W294" s="468"/>
      <c r="X294" s="468"/>
      <c r="Y294" s="468"/>
      <c r="Z294" s="468"/>
      <c r="AA294" s="468"/>
      <c r="AB294" s="468"/>
      <c r="AC294" s="468"/>
      <c r="AD294" s="468"/>
      <c r="AE294" s="468"/>
      <c r="AF294" s="468"/>
      <c r="AG294" s="468"/>
      <c r="AH294" s="468"/>
      <c r="AI294" s="468"/>
    </row>
    <row r="295" spans="1:35" ht="12.75">
      <c r="A295" s="2"/>
      <c r="B295" s="428"/>
      <c r="C295" s="428"/>
      <c r="D295" s="428"/>
      <c r="E295" s="2"/>
      <c r="F295" s="2"/>
      <c r="G295" s="2"/>
      <c r="H295" s="468"/>
      <c r="I295" s="468">
        <v>0</v>
      </c>
      <c r="J295" s="468">
        <v>0</v>
      </c>
      <c r="K295" s="468"/>
      <c r="L295" s="468"/>
      <c r="M295" s="468"/>
      <c r="N295" s="468"/>
      <c r="O295" s="468"/>
      <c r="P295" s="468"/>
      <c r="Q295" s="468"/>
      <c r="R295" s="468"/>
      <c r="S295" s="468"/>
      <c r="T295" s="468"/>
      <c r="U295" s="468"/>
      <c r="V295" s="468"/>
      <c r="W295" s="468"/>
      <c r="X295" s="468"/>
      <c r="Y295" s="468"/>
      <c r="Z295" s="468"/>
      <c r="AA295" s="468"/>
      <c r="AB295" s="468"/>
      <c r="AC295" s="468"/>
      <c r="AD295" s="468"/>
      <c r="AE295" s="468"/>
      <c r="AF295" s="468"/>
      <c r="AG295" s="468"/>
      <c r="AH295" s="468"/>
      <c r="AI295" s="468"/>
    </row>
    <row r="296" spans="1:35" ht="12.75">
      <c r="A296" s="2"/>
      <c r="B296" s="468">
        <v>0</v>
      </c>
      <c r="C296" s="2">
        <v>0</v>
      </c>
      <c r="D296" s="2">
        <v>0</v>
      </c>
      <c r="E296" s="474">
        <v>0</v>
      </c>
      <c r="F296" s="2"/>
      <c r="G296" s="2"/>
      <c r="H296" s="468"/>
      <c r="I296">
        <v>1000</v>
      </c>
      <c r="J296" s="428">
        <f>'[3]WORK SHEET'!R89</f>
        <v>50</v>
      </c>
      <c r="K296" s="468"/>
      <c r="L296" s="468"/>
      <c r="M296" s="468"/>
      <c r="N296" s="468"/>
      <c r="O296" s="468"/>
      <c r="P296" s="468"/>
      <c r="Q296" s="468"/>
      <c r="R296" s="468"/>
      <c r="S296" s="468"/>
      <c r="T296" s="468"/>
      <c r="U296" s="468"/>
      <c r="V296" s="468"/>
      <c r="W296" s="468"/>
      <c r="X296" s="468"/>
      <c r="Y296" s="468"/>
      <c r="Z296" s="468"/>
      <c r="AA296" s="468"/>
      <c r="AB296" s="468"/>
      <c r="AC296" s="468"/>
      <c r="AD296" s="468"/>
      <c r="AE296" s="468"/>
      <c r="AF296" s="468"/>
      <c r="AG296" s="468"/>
      <c r="AH296" s="468"/>
      <c r="AI296" s="468"/>
    </row>
    <row r="297" spans="1:35" ht="12.75">
      <c r="A297" s="2"/>
      <c r="B297" s="468">
        <v>39904</v>
      </c>
      <c r="C297" s="2">
        <v>51.81</v>
      </c>
      <c r="D297" s="430">
        <v>39904</v>
      </c>
      <c r="E297" s="474">
        <f>'[3]WORK SHEET'!E29:G29</f>
        <v>10</v>
      </c>
      <c r="F297" s="2"/>
      <c r="G297" s="2"/>
      <c r="H297" s="468"/>
      <c r="I297">
        <v>4825</v>
      </c>
      <c r="J297" s="428">
        <f>'[3]WORK SHEET'!R90</f>
        <v>60</v>
      </c>
      <c r="K297" s="468"/>
      <c r="L297" s="468"/>
      <c r="M297" s="468"/>
      <c r="N297" s="468"/>
      <c r="O297" s="468"/>
      <c r="P297" s="468"/>
      <c r="Q297" s="468"/>
      <c r="R297" s="468"/>
      <c r="S297" s="468"/>
      <c r="T297" s="468"/>
      <c r="U297" s="468"/>
      <c r="V297" s="468"/>
      <c r="W297" s="468"/>
      <c r="X297" s="468"/>
      <c r="Y297" s="468"/>
      <c r="Z297" s="468"/>
      <c r="AA297" s="468"/>
      <c r="AB297" s="468"/>
      <c r="AC297" s="468"/>
      <c r="AD297" s="468"/>
      <c r="AE297" s="468"/>
      <c r="AF297" s="468"/>
      <c r="AG297" s="468"/>
      <c r="AH297" s="468"/>
      <c r="AI297" s="468"/>
    </row>
    <row r="298" spans="1:35" ht="12.75">
      <c r="A298" s="2"/>
      <c r="B298" s="468">
        <v>39995</v>
      </c>
      <c r="C298" s="2">
        <v>60.288</v>
      </c>
      <c r="D298" s="430">
        <f>B300</f>
        <v>40015.01</v>
      </c>
      <c r="E298" s="2">
        <f>'[3]WORK SHEET'!E30:G30</f>
        <v>12.5</v>
      </c>
      <c r="F298" s="2"/>
      <c r="G298" s="2"/>
      <c r="H298" s="468"/>
      <c r="I298">
        <v>7770</v>
      </c>
      <c r="J298" s="428">
        <f>'[3]WORK SHEET'!R91</f>
        <v>70</v>
      </c>
      <c r="K298" s="468"/>
      <c r="L298" s="468"/>
      <c r="M298" s="468"/>
      <c r="N298" s="468"/>
      <c r="O298" s="468"/>
      <c r="P298" s="468"/>
      <c r="Q298" s="468"/>
      <c r="R298" s="468"/>
      <c r="S298" s="468"/>
      <c r="T298" s="468"/>
      <c r="U298" s="468"/>
      <c r="V298" s="468"/>
      <c r="W298" s="468"/>
      <c r="X298" s="468"/>
      <c r="Y298" s="468"/>
      <c r="Z298" s="468"/>
      <c r="AA298" s="468"/>
      <c r="AB298" s="468"/>
      <c r="AC298" s="468"/>
      <c r="AD298" s="468"/>
      <c r="AE298" s="468"/>
      <c r="AF298" s="468"/>
      <c r="AG298" s="468"/>
      <c r="AH298" s="468"/>
      <c r="AI298" s="468"/>
    </row>
    <row r="299" spans="2:10" ht="12.75">
      <c r="B299" s="414">
        <v>40544</v>
      </c>
      <c r="C299" s="394">
        <v>60.288</v>
      </c>
      <c r="D299" s="414">
        <f>B299</f>
        <v>40544</v>
      </c>
      <c r="E299" s="394">
        <f>E298</f>
        <v>12.5</v>
      </c>
      <c r="I299">
        <v>10565</v>
      </c>
      <c r="J299" s="428">
        <f>'[3]WORK SHEET'!R92</f>
        <v>80</v>
      </c>
    </row>
    <row r="300" spans="1:2" ht="12.75">
      <c r="A300" s="394" t="s">
        <v>501</v>
      </c>
      <c r="B300" s="415">
        <f>IF('[3]WORK SHEET'!E29='[3]WORK SHEET'!E30,39904,'[3]WORK SHEET'!E126)</f>
        <v>40015.01</v>
      </c>
    </row>
    <row r="302" spans="2:7" ht="12.75">
      <c r="B302" s="394" t="s">
        <v>502</v>
      </c>
      <c r="G302" s="394" t="s">
        <v>503</v>
      </c>
    </row>
    <row r="303" spans="2:11" ht="12.75">
      <c r="B303" s="394">
        <v>0</v>
      </c>
      <c r="C303" s="394">
        <f>VLOOKUP(E303,D296:E299,2,TRUE)</f>
        <v>0</v>
      </c>
      <c r="D303" s="394">
        <f>VLOOKUP(E303,B296:C299,2,TRUE)</f>
        <v>0</v>
      </c>
      <c r="E303" s="393">
        <f aca="true" t="shared" si="60" ref="E303:E312">BY283</f>
        <v>0</v>
      </c>
      <c r="F303" s="394" t="e">
        <f>VLOOKUP(E303,AQ268:AR291,2,TRUE)</f>
        <v>#N/A</v>
      </c>
      <c r="G303" s="393">
        <f>E304-1</f>
        <v>-1</v>
      </c>
      <c r="H303" s="394">
        <f>IF(G303&lt;0,0,1)</f>
        <v>0</v>
      </c>
      <c r="I303" s="394">
        <v>0</v>
      </c>
      <c r="J303" s="394" t="s">
        <v>504</v>
      </c>
      <c r="K303" s="394" t="s">
        <v>505</v>
      </c>
    </row>
    <row r="304" spans="2:11" ht="12.75">
      <c r="B304" s="393">
        <f>IF(E304=0,B303,E304)</f>
        <v>0</v>
      </c>
      <c r="C304" s="394">
        <f>VLOOKUP(E304,D296:E299,2,TRUE)</f>
        <v>0</v>
      </c>
      <c r="D304" s="394">
        <f>VLOOKUP(E304,B296:C299,2,TRUE)</f>
        <v>0</v>
      </c>
      <c r="E304" s="393">
        <f t="shared" si="60"/>
        <v>0</v>
      </c>
      <c r="F304" s="394" t="e">
        <f>VLOOKUP(E304,AQ269:AR292,2,TRUE)</f>
        <v>#N/A</v>
      </c>
      <c r="G304" s="393">
        <f aca="true" t="shared" si="61" ref="G304:G312">E305-1</f>
        <v>-1</v>
      </c>
      <c r="H304" s="394">
        <f aca="true" t="shared" si="62" ref="H304:H312">IF(G304&lt;0,0,1)</f>
        <v>0</v>
      </c>
      <c r="I304" s="394" t="e">
        <f>VLOOKUP(E304,AT269:AU292,2,TRUE)</f>
        <v>#N/A</v>
      </c>
      <c r="J304" s="394" t="e">
        <f>VLOOKUP(F304,I295:J299,2,TRUE)</f>
        <v>#N/A</v>
      </c>
      <c r="K304" s="394" t="e">
        <f>VLOOKUP(I304,I295:J299,2,TRUE)</f>
        <v>#N/A</v>
      </c>
    </row>
    <row r="305" spans="2:11" ht="12.75">
      <c r="B305" s="393">
        <f aca="true" t="shared" si="63" ref="B305:B312">IF(E305=0,B304,E305)</f>
        <v>0</v>
      </c>
      <c r="C305" s="394">
        <f>VLOOKUP(E305,D296:E299,2,TRUE)</f>
        <v>0</v>
      </c>
      <c r="D305" s="394">
        <f>VLOOKUP(E305,B296:C299,2,TRUE)</f>
        <v>0</v>
      </c>
      <c r="E305" s="393">
        <f t="shared" si="60"/>
        <v>0</v>
      </c>
      <c r="F305" s="394" t="e">
        <f>VLOOKUP(E305,AQ269:AR292,2,TRUE)</f>
        <v>#N/A</v>
      </c>
      <c r="G305" s="393">
        <f t="shared" si="61"/>
        <v>-1</v>
      </c>
      <c r="H305" s="394">
        <f t="shared" si="62"/>
        <v>0</v>
      </c>
      <c r="I305" s="394" t="e">
        <f>VLOOKUP(E305,AT269:AU292,2,TRUE)</f>
        <v>#N/A</v>
      </c>
      <c r="J305" s="394" t="e">
        <f>VLOOKUP(F305,I295:J299,2,TRUE)</f>
        <v>#N/A</v>
      </c>
      <c r="K305" s="394" t="e">
        <f>VLOOKUP(I305,I295:J299,2,TRUE)</f>
        <v>#N/A</v>
      </c>
    </row>
    <row r="306" spans="2:11" ht="12.75">
      <c r="B306" s="393">
        <f t="shared" si="63"/>
        <v>0</v>
      </c>
      <c r="C306" s="394">
        <f>VLOOKUP(E306,D296:E299,2,TRUE)</f>
        <v>0</v>
      </c>
      <c r="D306" s="394">
        <f>VLOOKUP(E306,B296:C299,2,TRUE)</f>
        <v>0</v>
      </c>
      <c r="E306" s="393">
        <f t="shared" si="60"/>
        <v>0</v>
      </c>
      <c r="F306" s="394" t="e">
        <f>VLOOKUP(E306,AQ269:AR292,2,TRUE)</f>
        <v>#N/A</v>
      </c>
      <c r="G306" s="393">
        <f t="shared" si="61"/>
        <v>-1</v>
      </c>
      <c r="H306" s="394">
        <f t="shared" si="62"/>
        <v>0</v>
      </c>
      <c r="I306" s="394" t="e">
        <f>VLOOKUP(E306,AT269:AU292,2,TRUE)</f>
        <v>#N/A</v>
      </c>
      <c r="J306" s="394" t="e">
        <f>VLOOKUP(F306,I295:J299,2,TRUE)</f>
        <v>#N/A</v>
      </c>
      <c r="K306" s="394" t="e">
        <f>VLOOKUP(I306,I295:J299,2,TRUE)</f>
        <v>#N/A</v>
      </c>
    </row>
    <row r="307" spans="2:11" ht="12.75">
      <c r="B307" s="393">
        <f t="shared" si="63"/>
        <v>0</v>
      </c>
      <c r="C307" s="394">
        <f>VLOOKUP(E307,D296:E299,2,TRUE)</f>
        <v>0</v>
      </c>
      <c r="D307" s="394">
        <f>VLOOKUP(E307,B296:C299,2,TRUE)</f>
        <v>0</v>
      </c>
      <c r="E307" s="393">
        <f t="shared" si="60"/>
        <v>0</v>
      </c>
      <c r="F307" s="394" t="e">
        <f>VLOOKUP(E307,AQ269:AR292,2,TRUE)</f>
        <v>#N/A</v>
      </c>
      <c r="G307" s="393">
        <f t="shared" si="61"/>
        <v>-1</v>
      </c>
      <c r="H307" s="394">
        <f t="shared" si="62"/>
        <v>0</v>
      </c>
      <c r="I307" s="394" t="e">
        <f>VLOOKUP(E307,AT269:AU292,2,TRUE)</f>
        <v>#N/A</v>
      </c>
      <c r="J307" s="394" t="e">
        <f>VLOOKUP(F307,I295:J299,2,TRUE)</f>
        <v>#N/A</v>
      </c>
      <c r="K307" s="394" t="e">
        <f>VLOOKUP(I307,I295:J299,2,TRUE)</f>
        <v>#N/A</v>
      </c>
    </row>
    <row r="308" spans="2:11" ht="12.75">
      <c r="B308" s="393">
        <f t="shared" si="63"/>
        <v>0</v>
      </c>
      <c r="C308" s="394">
        <f>VLOOKUP(E308,D296:E299,2,TRUE)</f>
        <v>0</v>
      </c>
      <c r="D308" s="394">
        <f>VLOOKUP(E308,B296:C299,2,TRUE)</f>
        <v>0</v>
      </c>
      <c r="E308" s="393">
        <f t="shared" si="60"/>
        <v>0</v>
      </c>
      <c r="F308" s="394" t="e">
        <f>VLOOKUP(E308,AQ269:AR292,2,TRUE)</f>
        <v>#N/A</v>
      </c>
      <c r="G308" s="393">
        <f t="shared" si="61"/>
        <v>-1</v>
      </c>
      <c r="H308" s="394">
        <f t="shared" si="62"/>
        <v>0</v>
      </c>
      <c r="I308" s="394" t="e">
        <f>VLOOKUP(E308,AT269:AU292,2,TRUE)</f>
        <v>#N/A</v>
      </c>
      <c r="J308" s="394" t="e">
        <f>VLOOKUP(F308,I295:J299,2,TRUE)</f>
        <v>#N/A</v>
      </c>
      <c r="K308" s="394" t="e">
        <f>VLOOKUP(I308,I295:J299,2,TRUE)</f>
        <v>#N/A</v>
      </c>
    </row>
    <row r="309" spans="2:11" ht="12.75">
      <c r="B309" s="393">
        <f t="shared" si="63"/>
        <v>0</v>
      </c>
      <c r="C309" s="394">
        <f>VLOOKUP(E309,D296:E299,2,TRUE)</f>
        <v>0</v>
      </c>
      <c r="D309" s="394">
        <f>VLOOKUP(E309,B296:C299,2,TRUE)</f>
        <v>0</v>
      </c>
      <c r="E309" s="393">
        <f t="shared" si="60"/>
        <v>0</v>
      </c>
      <c r="F309" s="394" t="e">
        <f>VLOOKUP(E309,AQ269:AR292,2,TRUE)</f>
        <v>#N/A</v>
      </c>
      <c r="G309" s="393">
        <f t="shared" si="61"/>
        <v>-1</v>
      </c>
      <c r="H309" s="394">
        <f t="shared" si="62"/>
        <v>0</v>
      </c>
      <c r="I309" s="394" t="e">
        <f>VLOOKUP(E309,AT269:AU292,2,TRUE)</f>
        <v>#N/A</v>
      </c>
      <c r="J309" s="394" t="e">
        <f>VLOOKUP(F309,I295:J299,2,TRUE)</f>
        <v>#N/A</v>
      </c>
      <c r="K309" s="394" t="e">
        <f>VLOOKUP(I309,I295:J299,2,TRUE)</f>
        <v>#N/A</v>
      </c>
    </row>
    <row r="310" spans="2:11" ht="12.75">
      <c r="B310" s="393">
        <f t="shared" si="63"/>
        <v>0</v>
      </c>
      <c r="C310" s="394">
        <f>VLOOKUP(E310,D296:E299,2,TRUE)</f>
        <v>0</v>
      </c>
      <c r="D310" s="394">
        <f>VLOOKUP(E310,B296:C299,2,TRUE)</f>
        <v>0</v>
      </c>
      <c r="E310" s="393">
        <f t="shared" si="60"/>
        <v>0</v>
      </c>
      <c r="F310" s="394" t="e">
        <f>VLOOKUP(E310,AQ269:AR292,2,TRUE)</f>
        <v>#N/A</v>
      </c>
      <c r="G310" s="393">
        <f t="shared" si="61"/>
        <v>-1</v>
      </c>
      <c r="H310" s="394">
        <f t="shared" si="62"/>
        <v>0</v>
      </c>
      <c r="I310" s="394" t="e">
        <f>VLOOKUP(E310,AT269:AU292,2,TRUE)</f>
        <v>#N/A</v>
      </c>
      <c r="J310" s="394" t="e">
        <f>VLOOKUP(F310,I295:J299,2,TRUE)</f>
        <v>#N/A</v>
      </c>
      <c r="K310" s="394" t="e">
        <f>VLOOKUP(I310,I295:J299,2,TRUE)</f>
        <v>#N/A</v>
      </c>
    </row>
    <row r="311" spans="2:11" ht="12.75">
      <c r="B311" s="393">
        <f t="shared" si="63"/>
        <v>0</v>
      </c>
      <c r="C311" s="394">
        <f>VLOOKUP(E311,D296:E299,2,TRUE)</f>
        <v>0</v>
      </c>
      <c r="D311" s="394">
        <f>VLOOKUP(E311,B296:C299,2,TRUE)</f>
        <v>0</v>
      </c>
      <c r="E311" s="393">
        <f t="shared" si="60"/>
        <v>0</v>
      </c>
      <c r="F311" s="394" t="e">
        <f>VLOOKUP(E311,AQ269:AR292,2,TRUE)</f>
        <v>#N/A</v>
      </c>
      <c r="G311" s="393">
        <f t="shared" si="61"/>
        <v>-1</v>
      </c>
      <c r="H311" s="394">
        <f t="shared" si="62"/>
        <v>0</v>
      </c>
      <c r="I311" s="394" t="e">
        <f>VLOOKUP(E311,AT269:AU292,2,TRUE)</f>
        <v>#N/A</v>
      </c>
      <c r="J311" s="394" t="e">
        <f>VLOOKUP(F311,I295:J299,2,TRUE)</f>
        <v>#N/A</v>
      </c>
      <c r="K311" s="394" t="e">
        <f>VLOOKUP(I311,I295:J299,2,TRUE)</f>
        <v>#N/A</v>
      </c>
    </row>
    <row r="312" spans="2:11" ht="12.75">
      <c r="B312" s="393">
        <f t="shared" si="63"/>
        <v>0</v>
      </c>
      <c r="C312" s="394">
        <f>VLOOKUP(E312,D296:E299,2,TRUE)</f>
        <v>0</v>
      </c>
      <c r="D312" s="394">
        <f>VLOOKUP(E312,B296:C299,2,TRUE)</f>
        <v>0</v>
      </c>
      <c r="E312" s="393">
        <f t="shared" si="60"/>
        <v>0</v>
      </c>
      <c r="F312" s="394" t="e">
        <f>VLOOKUP(E312,AQ269:AR292,2,TRUE)</f>
        <v>#N/A</v>
      </c>
      <c r="G312" s="393">
        <f t="shared" si="61"/>
        <v>-1</v>
      </c>
      <c r="H312" s="394">
        <f t="shared" si="62"/>
        <v>0</v>
      </c>
      <c r="I312" s="394" t="e">
        <f>VLOOKUP(E312,AT269:AU292,2,TRUE)</f>
        <v>#N/A</v>
      </c>
      <c r="J312" s="394" t="e">
        <f>VLOOKUP(F312,I295:J299,2,TRUE)</f>
        <v>#N/A</v>
      </c>
      <c r="K312" s="394" t="e">
        <f>VLOOKUP(I312,I295:J299,2,TRUE)</f>
        <v>#N/A</v>
      </c>
    </row>
    <row r="314" spans="7:21" ht="12.75">
      <c r="G314" s="593" t="s">
        <v>497</v>
      </c>
      <c r="H314" s="593"/>
      <c r="I314" s="593"/>
      <c r="J314" s="593"/>
      <c r="K314" s="593"/>
      <c r="L314" s="593"/>
      <c r="P314" s="394">
        <f>IF('[3]WORK SHEET'!H121=0,0,1)</f>
        <v>1</v>
      </c>
      <c r="U314" s="394" t="s">
        <v>506</v>
      </c>
    </row>
    <row r="315" spans="8:30" ht="12.75">
      <c r="H315" s="394" t="s">
        <v>81</v>
      </c>
      <c r="K315" s="394" t="s">
        <v>507</v>
      </c>
      <c r="L315" s="394" t="s">
        <v>508</v>
      </c>
      <c r="M315" s="394" t="s">
        <v>509</v>
      </c>
      <c r="N315" s="394" t="s">
        <v>510</v>
      </c>
      <c r="O315" s="394" t="s">
        <v>511</v>
      </c>
      <c r="P315" s="394" t="s">
        <v>512</v>
      </c>
      <c r="R315" s="394" t="s">
        <v>513</v>
      </c>
      <c r="S315" s="394" t="s">
        <v>153</v>
      </c>
      <c r="U315" s="475" t="s">
        <v>514</v>
      </c>
      <c r="V315" s="475" t="s">
        <v>507</v>
      </c>
      <c r="W315" s="475" t="s">
        <v>508</v>
      </c>
      <c r="X315" s="475" t="s">
        <v>515</v>
      </c>
      <c r="Y315" s="394" t="s">
        <v>510</v>
      </c>
      <c r="Z315" s="394" t="s">
        <v>511</v>
      </c>
      <c r="AA315" s="394" t="s">
        <v>512</v>
      </c>
      <c r="AC315" s="394" t="s">
        <v>513</v>
      </c>
      <c r="AD315" s="394" t="s">
        <v>153</v>
      </c>
    </row>
    <row r="316" spans="2:35" ht="12.75">
      <c r="B316" s="393">
        <f>ROUND(IF(G316-E316+1&lt;0,0,G316-E316+1),0)</f>
        <v>1</v>
      </c>
      <c r="C316" s="393">
        <v>1</v>
      </c>
      <c r="D316" s="393">
        <f>CC283+0.1</f>
        <v>0.1</v>
      </c>
      <c r="E316" s="393">
        <f>IF(D316=0,E315,D316)</f>
        <v>0.1</v>
      </c>
      <c r="F316" s="393">
        <v>1</v>
      </c>
      <c r="G316" s="393">
        <f>IF(D317-1&lt;0,0,D317-1)</f>
        <v>0</v>
      </c>
      <c r="H316" s="394" t="e">
        <f>ROUND(VLOOKUP(D316,AQ269:AR292,2,TRUE)*B316/VLOOKUP(MONTH(D316),AY283:AZ294,2,TRUE),0)</f>
        <v>#N/A</v>
      </c>
      <c r="I316" s="394">
        <f>VLOOKUP(D316,B296:C299,2,TRUE)</f>
        <v>0</v>
      </c>
      <c r="J316" s="394">
        <f>VLOOKUP(D316,D296:E299,2,TRUE)</f>
        <v>0</v>
      </c>
      <c r="K316" s="394" t="e">
        <f>ROUND(H316*I316%,0)</f>
        <v>#N/A</v>
      </c>
      <c r="L316" s="394" t="e">
        <f>ROUND(H316*J316%,0)</f>
        <v>#N/A</v>
      </c>
      <c r="M316" s="394" t="e">
        <f>ROUND(H316*22%,0)</f>
        <v>#N/A</v>
      </c>
      <c r="N316" s="394">
        <f>IF(DAY(E316)=1,AM316,0)</f>
        <v>0</v>
      </c>
      <c r="P316" s="394" t="e">
        <f>VLOOKUP(D316,B303:K312,9,TRUE)</f>
        <v>#N/A</v>
      </c>
      <c r="R316" s="394" t="e">
        <f>H316+K316+L316+M316+N316+O316+P316+Q316</f>
        <v>#N/A</v>
      </c>
      <c r="S316" s="394">
        <f>IF(DAY(E316)&lt;&gt;1,0,IF(DAY(E317)&lt;&gt;1,R317+R316,R316))</f>
        <v>0</v>
      </c>
      <c r="T316" s="394">
        <f>IF(S316=0,0,IF(S316&lt;=6000,60,IF(S316&lt;=10000,80,IF(S316&lt;=15000,100,IF(S316&lt;=20000,150,200)))))</f>
        <v>0</v>
      </c>
      <c r="U316" s="394" t="e">
        <f>ROUND(VLOOKUP(D316,AT269:AU292,2,TRUE)*B316/VLOOKUP(MONTH(D316),AY283:AZ294,2,TRUE),0)</f>
        <v>#N/A</v>
      </c>
      <c r="V316" s="394" t="e">
        <f aca="true" t="shared" si="64" ref="V316:V344">ROUND(U316*I316%,0)</f>
        <v>#N/A</v>
      </c>
      <c r="W316" s="394" t="e">
        <f aca="true" t="shared" si="65" ref="W316:W344">ROUND(U316*J316%,0)</f>
        <v>#N/A</v>
      </c>
      <c r="X316" s="394" t="e">
        <f>ROUND(U316*22%,0)</f>
        <v>#N/A</v>
      </c>
      <c r="Y316" s="394">
        <f>N316</f>
        <v>0</v>
      </c>
      <c r="AC316" s="394" t="e">
        <f>U316+V316+W316+X316+Y316+Z316+AA316+AB316</f>
        <v>#N/A</v>
      </c>
      <c r="AD316" s="394">
        <f>IF(DAY(E316)&lt;&gt;1,0,IF(DAY(E317)&lt;&gt;1,AC317+AC316,AC316))</f>
        <v>0</v>
      </c>
      <c r="AE316" s="394">
        <f>IF(AD316=0,0,IF(AD316&lt;=6000,60,IF(AD316&lt;=10000,80,IF(AD316&lt;=15000,100,IF(AD316&lt;=20000,150,200)))))</f>
        <v>0</v>
      </c>
      <c r="AG316" s="415">
        <v>39904</v>
      </c>
      <c r="AH316" s="415">
        <f>AG316+0.1</f>
        <v>39904.1</v>
      </c>
      <c r="AI316" s="394">
        <f>VLOOKUP(AH316,E316:AE344,15,TRUE)</f>
        <v>0</v>
      </c>
    </row>
    <row r="317" spans="2:35" ht="12.75">
      <c r="B317" s="393">
        <f aca="true" t="shared" si="66" ref="B317:B344">ROUND(IF(G317-E317+1&lt;0,0,G317-E317+1),0)</f>
        <v>1</v>
      </c>
      <c r="C317" s="393">
        <v>2</v>
      </c>
      <c r="D317" s="393">
        <f>CE284+0.1</f>
        <v>0.1</v>
      </c>
      <c r="E317" s="393">
        <f aca="true" t="shared" si="67" ref="E317:E344">IF(D317=0,E316,D317)</f>
        <v>0.1</v>
      </c>
      <c r="F317" s="393">
        <v>2</v>
      </c>
      <c r="G317" s="393">
        <f aca="true" t="shared" si="68" ref="G317:G344">IF(D318-1&lt;0,0,D318-1)</f>
        <v>0</v>
      </c>
      <c r="H317" s="394" t="e">
        <f>ROUND(VLOOKUP(D317,AQ269:AR292,2,TRUE)*B317/VLOOKUP(MONTH(D317),AY283:AZ294,2,TRUE),0)</f>
        <v>#N/A</v>
      </c>
      <c r="I317" s="394">
        <f>VLOOKUP(D317,B296:C299,2,TRUE)</f>
        <v>0</v>
      </c>
      <c r="J317" s="394">
        <f>VLOOKUP(D317,D296:E299,2,TRUE)</f>
        <v>0</v>
      </c>
      <c r="K317" s="394" t="e">
        <f aca="true" t="shared" si="69" ref="K317:K344">ROUND(H317*I317%,0)</f>
        <v>#N/A</v>
      </c>
      <c r="L317" s="394" t="e">
        <f aca="true" t="shared" si="70" ref="L317:L344">ROUND(H317*J317%,0)</f>
        <v>#N/A</v>
      </c>
      <c r="M317" s="394" t="e">
        <f aca="true" t="shared" si="71" ref="M317:M344">ROUND(H317*22%,0)</f>
        <v>#N/A</v>
      </c>
      <c r="N317" s="394">
        <f aca="true" t="shared" si="72" ref="N317:N344">IF(DAY(E317)=1,AM317,0)</f>
        <v>0</v>
      </c>
      <c r="R317" s="394" t="e">
        <f aca="true" t="shared" si="73" ref="R317:R344">H317+K317+L317+M317+N317+O317+P317+Q317</f>
        <v>#N/A</v>
      </c>
      <c r="S317" s="394">
        <f aca="true" t="shared" si="74" ref="S317:S344">IF(DAY(E317)&lt;&gt;1,0,IF(DAY(E318)&lt;&gt;1,R318+R317,R317))</f>
        <v>0</v>
      </c>
      <c r="T317" s="394">
        <f aca="true" t="shared" si="75" ref="T317:T344">IF(S317=0,0,IF(S317&lt;=6000,60,IF(S317&lt;=10000,80,IF(S317&lt;=15000,100,IF(S317&lt;=20000,150,200)))))</f>
        <v>0</v>
      </c>
      <c r="U317" s="394" t="e">
        <f>ROUND(VLOOKUP(D317,AT269:AU292,2,TRUE)*B317/VLOOKUP(MONTH(D317),AY283:AZ294,2,TRUE),0)</f>
        <v>#N/A</v>
      </c>
      <c r="V317" s="394" t="e">
        <f t="shared" si="64"/>
        <v>#N/A</v>
      </c>
      <c r="W317" s="394" t="e">
        <f t="shared" si="65"/>
        <v>#N/A</v>
      </c>
      <c r="X317" s="394" t="e">
        <f aca="true" t="shared" si="76" ref="X317:X344">ROUND(U317*22%,0)</f>
        <v>#N/A</v>
      </c>
      <c r="Y317" s="394">
        <f aca="true" t="shared" si="77" ref="Y317:Y344">N317</f>
        <v>0</v>
      </c>
      <c r="AC317" s="394" t="e">
        <f aca="true" t="shared" si="78" ref="AC317:AC344">U317+V317+W317+X317+Y317+Z317+AA317+AB317</f>
        <v>#N/A</v>
      </c>
      <c r="AD317" s="394">
        <f aca="true" t="shared" si="79" ref="AD317:AD344">IF(DAY(E317)&lt;&gt;1,0,IF(DAY(E318)&lt;&gt;1,AC318+AC317,AC317))</f>
        <v>0</v>
      </c>
      <c r="AE317" s="394">
        <f aca="true" t="shared" si="80" ref="AE317:AE344">IF(AD317=0,0,IF(AD317&lt;=6000,60,IF(AD317&lt;=10000,80,IF(AD317&lt;=15000,100,IF(AD317&lt;=20000,150,200)))))</f>
        <v>0</v>
      </c>
      <c r="AG317" s="415">
        <v>39934</v>
      </c>
      <c r="AH317" s="415">
        <f aca="true" t="shared" si="81" ref="AH317:AH344">AG317+0.1</f>
        <v>39934.1</v>
      </c>
      <c r="AI317" s="394">
        <f>VLOOKUP(AH317,E316:AE344,15,TRUE)</f>
        <v>0</v>
      </c>
    </row>
    <row r="318" spans="2:35" ht="12.75">
      <c r="B318" s="393">
        <f t="shared" si="66"/>
        <v>1</v>
      </c>
      <c r="C318" s="393">
        <v>3</v>
      </c>
      <c r="D318" s="393">
        <f>CG285+0.1</f>
        <v>0.1</v>
      </c>
      <c r="E318" s="393">
        <f t="shared" si="67"/>
        <v>0.1</v>
      </c>
      <c r="F318" s="393">
        <v>3</v>
      </c>
      <c r="G318" s="393">
        <f t="shared" si="68"/>
        <v>0</v>
      </c>
      <c r="H318" s="394" t="e">
        <f>ROUND(VLOOKUP(D318,AQ269:AR292,2,TRUE)*B318/VLOOKUP(MONTH(D318),AY283:AZ294,2,TRUE),0)</f>
        <v>#N/A</v>
      </c>
      <c r="I318" s="394">
        <f>VLOOKUP(D318,B296:C299,2,TRUE)</f>
        <v>0</v>
      </c>
      <c r="J318" s="394">
        <f>VLOOKUP(D318,D296:E299,2,TRUE)</f>
        <v>0</v>
      </c>
      <c r="K318" s="394" t="e">
        <f t="shared" si="69"/>
        <v>#N/A</v>
      </c>
      <c r="L318" s="394" t="e">
        <f t="shared" si="70"/>
        <v>#N/A</v>
      </c>
      <c r="M318" s="394" t="e">
        <f t="shared" si="71"/>
        <v>#N/A</v>
      </c>
      <c r="N318" s="394">
        <f t="shared" si="72"/>
        <v>0</v>
      </c>
      <c r="R318" s="394" t="e">
        <f t="shared" si="73"/>
        <v>#N/A</v>
      </c>
      <c r="S318" s="394">
        <f t="shared" si="74"/>
        <v>0</v>
      </c>
      <c r="T318" s="394">
        <f t="shared" si="75"/>
        <v>0</v>
      </c>
      <c r="U318" s="394" t="e">
        <f>ROUND(VLOOKUP(D318,AT269:AU292,2,TRUE)*B318/VLOOKUP(MONTH(D318),AY283:AZ294,2,TRUE),0)</f>
        <v>#N/A</v>
      </c>
      <c r="V318" s="394" t="e">
        <f t="shared" si="64"/>
        <v>#N/A</v>
      </c>
      <c r="W318" s="394" t="e">
        <f t="shared" si="65"/>
        <v>#N/A</v>
      </c>
      <c r="X318" s="394" t="e">
        <f t="shared" si="76"/>
        <v>#N/A</v>
      </c>
      <c r="Y318" s="394">
        <f t="shared" si="77"/>
        <v>0</v>
      </c>
      <c r="AC318" s="394" t="e">
        <f t="shared" si="78"/>
        <v>#N/A</v>
      </c>
      <c r="AD318" s="394">
        <f t="shared" si="79"/>
        <v>0</v>
      </c>
      <c r="AE318" s="394">
        <f t="shared" si="80"/>
        <v>0</v>
      </c>
      <c r="AG318" s="415">
        <v>39965</v>
      </c>
      <c r="AH318" s="415">
        <f t="shared" si="81"/>
        <v>39965.1</v>
      </c>
      <c r="AI318" s="394">
        <f>VLOOKUP(AH318,E316:AE344,15,TRUE)</f>
        <v>0</v>
      </c>
    </row>
    <row r="319" spans="2:35" ht="12.75">
      <c r="B319" s="393">
        <f t="shared" si="66"/>
        <v>1</v>
      </c>
      <c r="C319" s="393">
        <v>4</v>
      </c>
      <c r="D319" s="393">
        <f>CI286+0.1</f>
        <v>0.1</v>
      </c>
      <c r="E319" s="393">
        <f t="shared" si="67"/>
        <v>0.1</v>
      </c>
      <c r="F319" s="393">
        <v>4</v>
      </c>
      <c r="G319" s="393">
        <f t="shared" si="68"/>
        <v>0</v>
      </c>
      <c r="H319" s="394" t="e">
        <f>ROUND(VLOOKUP(D319,AQ269:AR292,2,TRUE)*B319/VLOOKUP(MONTH(D319),AY283:AZ294,2,TRUE),0)</f>
        <v>#N/A</v>
      </c>
      <c r="I319" s="394">
        <f>VLOOKUP(D319,B296:C299,2,TRUE)</f>
        <v>0</v>
      </c>
      <c r="J319" s="394">
        <f>VLOOKUP(D319,D296:E299,2,TRUE)</f>
        <v>0</v>
      </c>
      <c r="K319" s="394" t="e">
        <f t="shared" si="69"/>
        <v>#N/A</v>
      </c>
      <c r="L319" s="394" t="e">
        <f t="shared" si="70"/>
        <v>#N/A</v>
      </c>
      <c r="M319" s="394" t="e">
        <f t="shared" si="71"/>
        <v>#N/A</v>
      </c>
      <c r="N319" s="394">
        <f t="shared" si="72"/>
        <v>0</v>
      </c>
      <c r="R319" s="394" t="e">
        <f t="shared" si="73"/>
        <v>#N/A</v>
      </c>
      <c r="S319" s="394">
        <f t="shared" si="74"/>
        <v>0</v>
      </c>
      <c r="T319" s="394">
        <f t="shared" si="75"/>
        <v>0</v>
      </c>
      <c r="U319" s="394" t="e">
        <f>ROUND(VLOOKUP(D319,AT269:AU292,2,TRUE)*B319/VLOOKUP(MONTH(D319),AY283:AZ294,2,TRUE),0)</f>
        <v>#N/A</v>
      </c>
      <c r="V319" s="394" t="e">
        <f t="shared" si="64"/>
        <v>#N/A</v>
      </c>
      <c r="W319" s="394" t="e">
        <f t="shared" si="65"/>
        <v>#N/A</v>
      </c>
      <c r="X319" s="394" t="e">
        <f t="shared" si="76"/>
        <v>#N/A</v>
      </c>
      <c r="Y319" s="394">
        <f t="shared" si="77"/>
        <v>0</v>
      </c>
      <c r="AC319" s="394" t="e">
        <f t="shared" si="78"/>
        <v>#N/A</v>
      </c>
      <c r="AD319" s="394">
        <f t="shared" si="79"/>
        <v>0</v>
      </c>
      <c r="AE319" s="394">
        <f t="shared" si="80"/>
        <v>0</v>
      </c>
      <c r="AG319" s="415">
        <v>39995</v>
      </c>
      <c r="AH319" s="415">
        <f t="shared" si="81"/>
        <v>39995.1</v>
      </c>
      <c r="AI319" s="394">
        <f>VLOOKUP(AH319,E316:AE344,15,TRUE)</f>
        <v>0</v>
      </c>
    </row>
    <row r="320" spans="2:35" ht="12.75">
      <c r="B320" s="393">
        <f t="shared" si="66"/>
        <v>1</v>
      </c>
      <c r="C320" s="393">
        <v>5</v>
      </c>
      <c r="D320" s="393">
        <f>CK287+0.1</f>
        <v>0.1</v>
      </c>
      <c r="E320" s="393">
        <f t="shared" si="67"/>
        <v>0.1</v>
      </c>
      <c r="F320" s="393">
        <v>5</v>
      </c>
      <c r="G320" s="393">
        <f t="shared" si="68"/>
        <v>0</v>
      </c>
      <c r="H320" s="394" t="e">
        <f>ROUND(VLOOKUP(D320,AQ269:AR292,2,TRUE)*B320/VLOOKUP(MONTH(D320),AY283:AZ294,2,TRUE),0)</f>
        <v>#N/A</v>
      </c>
      <c r="I320" s="394">
        <f>VLOOKUP(D320,B296:C299,2,TRUE)</f>
        <v>0</v>
      </c>
      <c r="J320" s="394">
        <f>VLOOKUP(D320,D296:E299,2,TRUE)</f>
        <v>0</v>
      </c>
      <c r="K320" s="394" t="e">
        <f t="shared" si="69"/>
        <v>#N/A</v>
      </c>
      <c r="L320" s="394" t="e">
        <f t="shared" si="70"/>
        <v>#N/A</v>
      </c>
      <c r="M320" s="394" t="e">
        <f t="shared" si="71"/>
        <v>#N/A</v>
      </c>
      <c r="N320" s="394">
        <f t="shared" si="72"/>
        <v>0</v>
      </c>
      <c r="R320" s="394" t="e">
        <f t="shared" si="73"/>
        <v>#N/A</v>
      </c>
      <c r="S320" s="394">
        <f t="shared" si="74"/>
        <v>0</v>
      </c>
      <c r="T320" s="394">
        <f t="shared" si="75"/>
        <v>0</v>
      </c>
      <c r="U320" s="394" t="e">
        <f>ROUND(VLOOKUP(D320,AT269:AU292,2,TRUE)*B320/VLOOKUP(MONTH(D320),AY283:AZ294,2,TRUE),0)</f>
        <v>#N/A</v>
      </c>
      <c r="V320" s="394" t="e">
        <f t="shared" si="64"/>
        <v>#N/A</v>
      </c>
      <c r="W320" s="394" t="e">
        <f t="shared" si="65"/>
        <v>#N/A</v>
      </c>
      <c r="X320" s="394" t="e">
        <f t="shared" si="76"/>
        <v>#N/A</v>
      </c>
      <c r="Y320" s="394">
        <f t="shared" si="77"/>
        <v>0</v>
      </c>
      <c r="AC320" s="394" t="e">
        <f t="shared" si="78"/>
        <v>#N/A</v>
      </c>
      <c r="AD320" s="394">
        <f t="shared" si="79"/>
        <v>0</v>
      </c>
      <c r="AE320" s="394">
        <f t="shared" si="80"/>
        <v>0</v>
      </c>
      <c r="AG320" s="415">
        <v>40026</v>
      </c>
      <c r="AH320" s="415">
        <f t="shared" si="81"/>
        <v>40026.1</v>
      </c>
      <c r="AI320" s="394">
        <f>VLOOKUP(AH320,E316:AE344,15,TRUE)</f>
        <v>0</v>
      </c>
    </row>
    <row r="321" spans="2:35" ht="12.75">
      <c r="B321" s="393">
        <f t="shared" si="66"/>
        <v>1</v>
      </c>
      <c r="C321" s="393">
        <v>6</v>
      </c>
      <c r="D321" s="393">
        <f>CM288+0.1</f>
        <v>0.1</v>
      </c>
      <c r="E321" s="393">
        <f t="shared" si="67"/>
        <v>0.1</v>
      </c>
      <c r="F321" s="393">
        <v>6</v>
      </c>
      <c r="G321" s="393">
        <f t="shared" si="68"/>
        <v>0</v>
      </c>
      <c r="H321" s="394" t="e">
        <f>ROUND(VLOOKUP(D321,AQ269:AR292,2,TRUE)*B321/VLOOKUP(MONTH(D321),AY283:AZ294,2,TRUE),0)</f>
        <v>#N/A</v>
      </c>
      <c r="I321" s="394">
        <f>VLOOKUP(D321,B296:C299,2,TRUE)</f>
        <v>0</v>
      </c>
      <c r="J321" s="394">
        <f>VLOOKUP(D321,D296:E299,2,TRUE)</f>
        <v>0</v>
      </c>
      <c r="K321" s="394" t="e">
        <f t="shared" si="69"/>
        <v>#N/A</v>
      </c>
      <c r="L321" s="394" t="e">
        <f t="shared" si="70"/>
        <v>#N/A</v>
      </c>
      <c r="M321" s="394" t="e">
        <f t="shared" si="71"/>
        <v>#N/A</v>
      </c>
      <c r="N321" s="394">
        <f t="shared" si="72"/>
        <v>0</v>
      </c>
      <c r="R321" s="394" t="e">
        <f t="shared" si="73"/>
        <v>#N/A</v>
      </c>
      <c r="S321" s="394">
        <f t="shared" si="74"/>
        <v>0</v>
      </c>
      <c r="T321" s="394">
        <f t="shared" si="75"/>
        <v>0</v>
      </c>
      <c r="U321" s="394" t="e">
        <f>ROUND(VLOOKUP(D321,AT269:AU292,2,TRUE)*B321/VLOOKUP(MONTH(D321),AY283:AZ294,2,TRUE),0)</f>
        <v>#N/A</v>
      </c>
      <c r="V321" s="394" t="e">
        <f t="shared" si="64"/>
        <v>#N/A</v>
      </c>
      <c r="W321" s="394" t="e">
        <f t="shared" si="65"/>
        <v>#N/A</v>
      </c>
      <c r="X321" s="394" t="e">
        <f t="shared" si="76"/>
        <v>#N/A</v>
      </c>
      <c r="Y321" s="394">
        <f t="shared" si="77"/>
        <v>0</v>
      </c>
      <c r="AC321" s="394" t="e">
        <f t="shared" si="78"/>
        <v>#N/A</v>
      </c>
      <c r="AD321" s="394">
        <f t="shared" si="79"/>
        <v>0</v>
      </c>
      <c r="AE321" s="394">
        <f t="shared" si="80"/>
        <v>0</v>
      </c>
      <c r="AG321" s="415">
        <v>40057</v>
      </c>
      <c r="AH321" s="415">
        <f t="shared" si="81"/>
        <v>40057.1</v>
      </c>
      <c r="AI321" s="394">
        <f>VLOOKUP(AH321,E316:AE344,15,TRUE)</f>
        <v>0</v>
      </c>
    </row>
    <row r="322" spans="2:35" ht="12.75">
      <c r="B322" s="393">
        <f t="shared" si="66"/>
        <v>1</v>
      </c>
      <c r="C322" s="393">
        <v>7</v>
      </c>
      <c r="D322" s="393">
        <f>CO289+0.1</f>
        <v>0.1</v>
      </c>
      <c r="E322" s="393">
        <f t="shared" si="67"/>
        <v>0.1</v>
      </c>
      <c r="F322" s="393">
        <v>7</v>
      </c>
      <c r="G322" s="393">
        <f t="shared" si="68"/>
        <v>0</v>
      </c>
      <c r="H322" s="394" t="e">
        <f>ROUND(VLOOKUP(D322,AQ269:AR292,2,TRUE)*B322/VLOOKUP(MONTH(D322),AY283:AZ294,2,TRUE),0)</f>
        <v>#N/A</v>
      </c>
      <c r="I322" s="394">
        <f>VLOOKUP(D322,B296:C299,2,TRUE)</f>
        <v>0</v>
      </c>
      <c r="J322" s="394">
        <f>VLOOKUP(D322,D296:E299,2,TRUE)</f>
        <v>0</v>
      </c>
      <c r="K322" s="394" t="e">
        <f t="shared" si="69"/>
        <v>#N/A</v>
      </c>
      <c r="L322" s="394" t="e">
        <f t="shared" si="70"/>
        <v>#N/A</v>
      </c>
      <c r="M322" s="394" t="e">
        <f t="shared" si="71"/>
        <v>#N/A</v>
      </c>
      <c r="N322" s="394">
        <f t="shared" si="72"/>
        <v>0</v>
      </c>
      <c r="R322" s="394" t="e">
        <f t="shared" si="73"/>
        <v>#N/A</v>
      </c>
      <c r="S322" s="394">
        <f t="shared" si="74"/>
        <v>0</v>
      </c>
      <c r="T322" s="394">
        <f t="shared" si="75"/>
        <v>0</v>
      </c>
      <c r="U322" s="394" t="e">
        <f>ROUND(VLOOKUP(D322,AT269:AU292,2,TRUE)*B322/VLOOKUP(MONTH(D322),AY283:AZ294,2,TRUE),0)</f>
        <v>#N/A</v>
      </c>
      <c r="V322" s="394" t="e">
        <f t="shared" si="64"/>
        <v>#N/A</v>
      </c>
      <c r="W322" s="394" t="e">
        <f t="shared" si="65"/>
        <v>#N/A</v>
      </c>
      <c r="X322" s="394" t="e">
        <f t="shared" si="76"/>
        <v>#N/A</v>
      </c>
      <c r="Y322" s="394">
        <f t="shared" si="77"/>
        <v>0</v>
      </c>
      <c r="AC322" s="394" t="e">
        <f t="shared" si="78"/>
        <v>#N/A</v>
      </c>
      <c r="AD322" s="394">
        <f t="shared" si="79"/>
        <v>0</v>
      </c>
      <c r="AE322" s="394">
        <f t="shared" si="80"/>
        <v>0</v>
      </c>
      <c r="AG322" s="415">
        <v>40087</v>
      </c>
      <c r="AH322" s="415">
        <f t="shared" si="81"/>
        <v>40087.1</v>
      </c>
      <c r="AI322" s="394">
        <f>VLOOKUP(AH322,E316:AE344,15,TRUE)</f>
        <v>0</v>
      </c>
    </row>
    <row r="323" spans="2:35" ht="12.75">
      <c r="B323" s="393">
        <f t="shared" si="66"/>
        <v>1</v>
      </c>
      <c r="C323" s="393">
        <v>8</v>
      </c>
      <c r="D323" s="393">
        <f>CQ290+0.1</f>
        <v>0.1</v>
      </c>
      <c r="E323" s="393">
        <f t="shared" si="67"/>
        <v>0.1</v>
      </c>
      <c r="F323" s="393">
        <v>8</v>
      </c>
      <c r="G323" s="393">
        <f t="shared" si="68"/>
        <v>0</v>
      </c>
      <c r="H323" s="394" t="e">
        <f>ROUND(VLOOKUP(D323,AQ269:AR292,2,TRUE)*B323/VLOOKUP(MONTH(D323),AY283:AZ294,2,TRUE),0)</f>
        <v>#N/A</v>
      </c>
      <c r="I323" s="394">
        <f>VLOOKUP(D323,B296:C299,2,TRUE)</f>
        <v>0</v>
      </c>
      <c r="J323" s="394">
        <f>VLOOKUP(D323,D296:E299,2,TRUE)</f>
        <v>0</v>
      </c>
      <c r="K323" s="394" t="e">
        <f t="shared" si="69"/>
        <v>#N/A</v>
      </c>
      <c r="L323" s="394" t="e">
        <f t="shared" si="70"/>
        <v>#N/A</v>
      </c>
      <c r="M323" s="394" t="e">
        <f t="shared" si="71"/>
        <v>#N/A</v>
      </c>
      <c r="N323" s="394">
        <f t="shared" si="72"/>
        <v>0</v>
      </c>
      <c r="R323" s="394" t="e">
        <f t="shared" si="73"/>
        <v>#N/A</v>
      </c>
      <c r="S323" s="394">
        <f t="shared" si="74"/>
        <v>0</v>
      </c>
      <c r="T323" s="394">
        <f t="shared" si="75"/>
        <v>0</v>
      </c>
      <c r="U323" s="394" t="e">
        <f>ROUND(VLOOKUP(D323,AT269:AU292,2,TRUE)*B323/VLOOKUP(MONTH(D323),AY283:AZ294,2,TRUE),0)</f>
        <v>#N/A</v>
      </c>
      <c r="V323" s="394" t="e">
        <f t="shared" si="64"/>
        <v>#N/A</v>
      </c>
      <c r="W323" s="394" t="e">
        <f t="shared" si="65"/>
        <v>#N/A</v>
      </c>
      <c r="X323" s="394" t="e">
        <f t="shared" si="76"/>
        <v>#N/A</v>
      </c>
      <c r="Y323" s="394">
        <f t="shared" si="77"/>
        <v>0</v>
      </c>
      <c r="AC323" s="394" t="e">
        <f t="shared" si="78"/>
        <v>#N/A</v>
      </c>
      <c r="AD323" s="394">
        <f t="shared" si="79"/>
        <v>0</v>
      </c>
      <c r="AE323" s="394">
        <f t="shared" si="80"/>
        <v>0</v>
      </c>
      <c r="AG323" s="415">
        <v>40118</v>
      </c>
      <c r="AH323" s="415">
        <f t="shared" si="81"/>
        <v>40118.1</v>
      </c>
      <c r="AI323" s="394">
        <f>VLOOKUP(AH323,E316:AE344,15,TRUE)</f>
        <v>0</v>
      </c>
    </row>
    <row r="324" spans="2:35" ht="12.75">
      <c r="B324" s="393">
        <f t="shared" si="66"/>
        <v>1</v>
      </c>
      <c r="C324" s="393">
        <v>9</v>
      </c>
      <c r="D324" s="393">
        <f>CS291+0.1</f>
        <v>0.1</v>
      </c>
      <c r="E324" s="393">
        <f t="shared" si="67"/>
        <v>0.1</v>
      </c>
      <c r="F324" s="393">
        <v>9</v>
      </c>
      <c r="G324" s="393">
        <f t="shared" si="68"/>
        <v>0</v>
      </c>
      <c r="H324" s="394" t="e">
        <f>ROUND(VLOOKUP(D324,AQ269:AR292,2,TRUE)*B324/VLOOKUP(MONTH(D324),AY283:AZ294,2,TRUE),0)</f>
        <v>#N/A</v>
      </c>
      <c r="I324" s="394">
        <f>VLOOKUP(D324,B296:C299,2,TRUE)</f>
        <v>0</v>
      </c>
      <c r="J324" s="394">
        <f>VLOOKUP(D324,D296:E299,2,TRUE)</f>
        <v>0</v>
      </c>
      <c r="K324" s="394" t="e">
        <f t="shared" si="69"/>
        <v>#N/A</v>
      </c>
      <c r="L324" s="394" t="e">
        <f t="shared" si="70"/>
        <v>#N/A</v>
      </c>
      <c r="M324" s="394" t="e">
        <f t="shared" si="71"/>
        <v>#N/A</v>
      </c>
      <c r="N324" s="394">
        <f t="shared" si="72"/>
        <v>0</v>
      </c>
      <c r="R324" s="394" t="e">
        <f t="shared" si="73"/>
        <v>#N/A</v>
      </c>
      <c r="S324" s="394">
        <f t="shared" si="74"/>
        <v>0</v>
      </c>
      <c r="T324" s="394">
        <f t="shared" si="75"/>
        <v>0</v>
      </c>
      <c r="U324" s="394" t="e">
        <f>ROUND(VLOOKUP(D324,AT269:AU292,2,TRUE)*B324/VLOOKUP(MONTH(D324),AY283:AZ294,2,TRUE),0)</f>
        <v>#N/A</v>
      </c>
      <c r="V324" s="394" t="e">
        <f t="shared" si="64"/>
        <v>#N/A</v>
      </c>
      <c r="W324" s="394" t="e">
        <f t="shared" si="65"/>
        <v>#N/A</v>
      </c>
      <c r="X324" s="394" t="e">
        <f t="shared" si="76"/>
        <v>#N/A</v>
      </c>
      <c r="Y324" s="394">
        <f t="shared" si="77"/>
        <v>0</v>
      </c>
      <c r="AC324" s="394" t="e">
        <f t="shared" si="78"/>
        <v>#N/A</v>
      </c>
      <c r="AD324" s="394">
        <f t="shared" si="79"/>
        <v>0</v>
      </c>
      <c r="AE324" s="394">
        <f t="shared" si="80"/>
        <v>0</v>
      </c>
      <c r="AG324" s="415">
        <v>40148</v>
      </c>
      <c r="AH324" s="415">
        <f t="shared" si="81"/>
        <v>40148.1</v>
      </c>
      <c r="AI324" s="394">
        <f>VLOOKUP(AH324,E316:AE344,15,TRUE)</f>
        <v>0</v>
      </c>
    </row>
    <row r="325" spans="2:35" ht="12.75">
      <c r="B325" s="393">
        <f t="shared" si="66"/>
        <v>1</v>
      </c>
      <c r="C325" s="393">
        <v>10</v>
      </c>
      <c r="D325" s="393">
        <f>CU292+0.1</f>
        <v>0.1</v>
      </c>
      <c r="E325" s="393">
        <f t="shared" si="67"/>
        <v>0.1</v>
      </c>
      <c r="F325" s="393">
        <v>10</v>
      </c>
      <c r="G325" s="393">
        <f t="shared" si="68"/>
        <v>0</v>
      </c>
      <c r="H325" s="394" t="e">
        <f>ROUND(VLOOKUP(D325,AQ269:AR292,2,TRUE)*B325/VLOOKUP(MONTH(D325),AY283:AZ294,2,TRUE),0)</f>
        <v>#N/A</v>
      </c>
      <c r="I325" s="394">
        <f>VLOOKUP(D325,B296:C299,2,TRUE)</f>
        <v>0</v>
      </c>
      <c r="J325" s="394">
        <f>VLOOKUP(D325,D296:E299,2,TRUE)</f>
        <v>0</v>
      </c>
      <c r="K325" s="394" t="e">
        <f t="shared" si="69"/>
        <v>#N/A</v>
      </c>
      <c r="L325" s="394" t="e">
        <f t="shared" si="70"/>
        <v>#N/A</v>
      </c>
      <c r="M325" s="394" t="e">
        <f t="shared" si="71"/>
        <v>#N/A</v>
      </c>
      <c r="N325" s="394">
        <f t="shared" si="72"/>
        <v>0</v>
      </c>
      <c r="R325" s="394" t="e">
        <f t="shared" si="73"/>
        <v>#N/A</v>
      </c>
      <c r="S325" s="394">
        <f t="shared" si="74"/>
        <v>0</v>
      </c>
      <c r="T325" s="394">
        <f t="shared" si="75"/>
        <v>0</v>
      </c>
      <c r="U325" s="394" t="e">
        <f>ROUND(VLOOKUP(D325,AT269:AU292,2,TRUE)*B325/VLOOKUP(MONTH(D325),AY283:AZ294,2,TRUE),0)</f>
        <v>#N/A</v>
      </c>
      <c r="V325" s="394" t="e">
        <f t="shared" si="64"/>
        <v>#N/A</v>
      </c>
      <c r="W325" s="394" t="e">
        <f t="shared" si="65"/>
        <v>#N/A</v>
      </c>
      <c r="X325" s="394" t="e">
        <f t="shared" si="76"/>
        <v>#N/A</v>
      </c>
      <c r="Y325" s="394">
        <f t="shared" si="77"/>
        <v>0</v>
      </c>
      <c r="AC325" s="394" t="e">
        <f t="shared" si="78"/>
        <v>#N/A</v>
      </c>
      <c r="AD325" s="394">
        <f t="shared" si="79"/>
        <v>0</v>
      </c>
      <c r="AE325" s="394">
        <f t="shared" si="80"/>
        <v>0</v>
      </c>
      <c r="AG325" s="415">
        <v>40179</v>
      </c>
      <c r="AH325" s="415">
        <f t="shared" si="81"/>
        <v>40179.1</v>
      </c>
      <c r="AI325" s="394">
        <f>VLOOKUP(AH325,E316:AE344,15,TRUE)</f>
        <v>0</v>
      </c>
    </row>
    <row r="326" spans="2:35" ht="12.75">
      <c r="B326" s="393">
        <f t="shared" si="66"/>
        <v>1</v>
      </c>
      <c r="C326" s="393">
        <v>11</v>
      </c>
      <c r="D326" s="393">
        <f>CW293+0.1</f>
        <v>0.1</v>
      </c>
      <c r="E326" s="393">
        <f t="shared" si="67"/>
        <v>0.1</v>
      </c>
      <c r="F326" s="393">
        <v>11</v>
      </c>
      <c r="G326" s="393">
        <f t="shared" si="68"/>
        <v>0</v>
      </c>
      <c r="H326" s="394" t="e">
        <f>ROUND(VLOOKUP(D326,AQ269:AR292,2,TRUE)*B326/VLOOKUP(MONTH(D326),AY283:AZ294,2,TRUE),0)</f>
        <v>#N/A</v>
      </c>
      <c r="I326" s="394">
        <f>VLOOKUP(D326,B296:C299,2,TRUE)</f>
        <v>0</v>
      </c>
      <c r="J326" s="394">
        <f>VLOOKUP(D326,D296:E299,2,TRUE)</f>
        <v>0</v>
      </c>
      <c r="K326" s="394" t="e">
        <f t="shared" si="69"/>
        <v>#N/A</v>
      </c>
      <c r="L326" s="394" t="e">
        <f t="shared" si="70"/>
        <v>#N/A</v>
      </c>
      <c r="M326" s="394" t="e">
        <f t="shared" si="71"/>
        <v>#N/A</v>
      </c>
      <c r="N326" s="394">
        <f t="shared" si="72"/>
        <v>0</v>
      </c>
      <c r="R326" s="394" t="e">
        <f t="shared" si="73"/>
        <v>#N/A</v>
      </c>
      <c r="S326" s="394">
        <f t="shared" si="74"/>
        <v>0</v>
      </c>
      <c r="T326" s="394">
        <f t="shared" si="75"/>
        <v>0</v>
      </c>
      <c r="U326" s="394" t="e">
        <f>ROUND(VLOOKUP(D326,AT269:AU292,2,TRUE)*B326/VLOOKUP(MONTH(D326),AY283:AZ294,2,TRUE),0)</f>
        <v>#N/A</v>
      </c>
      <c r="V326" s="394" t="e">
        <f t="shared" si="64"/>
        <v>#N/A</v>
      </c>
      <c r="W326" s="394" t="e">
        <f t="shared" si="65"/>
        <v>#N/A</v>
      </c>
      <c r="X326" s="394" t="e">
        <f t="shared" si="76"/>
        <v>#N/A</v>
      </c>
      <c r="Y326" s="394">
        <f t="shared" si="77"/>
        <v>0</v>
      </c>
      <c r="AC326" s="394" t="e">
        <f t="shared" si="78"/>
        <v>#N/A</v>
      </c>
      <c r="AD326" s="394">
        <f t="shared" si="79"/>
        <v>0</v>
      </c>
      <c r="AE326" s="394">
        <f t="shared" si="80"/>
        <v>0</v>
      </c>
      <c r="AG326" s="415">
        <v>40210</v>
      </c>
      <c r="AH326" s="415">
        <f t="shared" si="81"/>
        <v>40210.1</v>
      </c>
      <c r="AI326" s="394">
        <f>VLOOKUP(AH326,E316:AE344,15,TRUE)</f>
        <v>0</v>
      </c>
    </row>
    <row r="327" spans="2:35" ht="12.75">
      <c r="B327" s="393">
        <f t="shared" si="66"/>
        <v>1</v>
      </c>
      <c r="C327" s="393">
        <v>12</v>
      </c>
      <c r="D327" s="393">
        <f>CY294+0.1</f>
        <v>0.1</v>
      </c>
      <c r="E327" s="393">
        <f t="shared" si="67"/>
        <v>0.1</v>
      </c>
      <c r="F327" s="393">
        <v>12</v>
      </c>
      <c r="G327" s="393">
        <f t="shared" si="68"/>
        <v>0</v>
      </c>
      <c r="H327" s="394" t="e">
        <f>ROUND(VLOOKUP(D327,AQ269:AR292,2,TRUE)*B327/VLOOKUP(MONTH(D327),AY283:AZ294,2,TRUE),0)</f>
        <v>#N/A</v>
      </c>
      <c r="I327" s="394">
        <f>VLOOKUP(D327,B296:C299,2,TRUE)</f>
        <v>0</v>
      </c>
      <c r="J327" s="394">
        <f>VLOOKUP(D327,D296:E299,2,TRUE)</f>
        <v>0</v>
      </c>
      <c r="K327" s="394" t="e">
        <f t="shared" si="69"/>
        <v>#N/A</v>
      </c>
      <c r="L327" s="394" t="e">
        <f t="shared" si="70"/>
        <v>#N/A</v>
      </c>
      <c r="M327" s="394" t="e">
        <f t="shared" si="71"/>
        <v>#N/A</v>
      </c>
      <c r="N327" s="394">
        <f t="shared" si="72"/>
        <v>0</v>
      </c>
      <c r="R327" s="394" t="e">
        <f t="shared" si="73"/>
        <v>#N/A</v>
      </c>
      <c r="S327" s="394">
        <f t="shared" si="74"/>
        <v>0</v>
      </c>
      <c r="T327" s="394">
        <f t="shared" si="75"/>
        <v>0</v>
      </c>
      <c r="U327" s="394" t="e">
        <f>ROUND(VLOOKUP(D327,AT269:AU292,2,TRUE)*B327/VLOOKUP(MONTH(D327),AY283:AZ294,2,TRUE),0)</f>
        <v>#N/A</v>
      </c>
      <c r="V327" s="394" t="e">
        <f t="shared" si="64"/>
        <v>#N/A</v>
      </c>
      <c r="W327" s="394" t="e">
        <f t="shared" si="65"/>
        <v>#N/A</v>
      </c>
      <c r="X327" s="394" t="e">
        <f t="shared" si="76"/>
        <v>#N/A</v>
      </c>
      <c r="Y327" s="394">
        <f t="shared" si="77"/>
        <v>0</v>
      </c>
      <c r="AC327" s="394" t="e">
        <f t="shared" si="78"/>
        <v>#N/A</v>
      </c>
      <c r="AD327" s="394">
        <f t="shared" si="79"/>
        <v>0</v>
      </c>
      <c r="AE327" s="394">
        <f t="shared" si="80"/>
        <v>0</v>
      </c>
      <c r="AG327" s="415">
        <v>40238</v>
      </c>
      <c r="AH327" s="415">
        <f t="shared" si="81"/>
        <v>40238.1</v>
      </c>
      <c r="AI327" s="394">
        <f>VLOOKUP(AH327,E316:AE344,15,TRUE)</f>
        <v>0</v>
      </c>
    </row>
    <row r="328" spans="2:35" ht="12.75">
      <c r="B328" s="393">
        <f t="shared" si="66"/>
        <v>1</v>
      </c>
      <c r="C328" s="393">
        <v>13</v>
      </c>
      <c r="D328" s="393">
        <f>DA295+0.1</f>
        <v>0.1</v>
      </c>
      <c r="E328" s="393">
        <f t="shared" si="67"/>
        <v>0.1</v>
      </c>
      <c r="F328" s="393">
        <v>13</v>
      </c>
      <c r="G328" s="393">
        <f t="shared" si="68"/>
        <v>0</v>
      </c>
      <c r="H328" s="394" t="e">
        <f>ROUND(VLOOKUP(D328,AQ269:AR292,2,TRUE)*B328/VLOOKUP(MONTH(D328),AY283:AZ294,2,TRUE),0)</f>
        <v>#N/A</v>
      </c>
      <c r="I328" s="394">
        <f>VLOOKUP(D328,B296:C299,2,TRUE)</f>
        <v>0</v>
      </c>
      <c r="J328" s="394">
        <f>VLOOKUP(D328,D296:E299,2,TRUE)</f>
        <v>0</v>
      </c>
      <c r="K328" s="394" t="e">
        <f t="shared" si="69"/>
        <v>#N/A</v>
      </c>
      <c r="L328" s="394" t="e">
        <f t="shared" si="70"/>
        <v>#N/A</v>
      </c>
      <c r="M328" s="394" t="e">
        <f t="shared" si="71"/>
        <v>#N/A</v>
      </c>
      <c r="N328" s="394">
        <f t="shared" si="72"/>
        <v>0</v>
      </c>
      <c r="R328" s="394" t="e">
        <f t="shared" si="73"/>
        <v>#N/A</v>
      </c>
      <c r="S328" s="394">
        <f t="shared" si="74"/>
        <v>0</v>
      </c>
      <c r="T328" s="394">
        <f t="shared" si="75"/>
        <v>0</v>
      </c>
      <c r="U328" s="394" t="e">
        <f>ROUND(VLOOKUP(D328,AT269:AU292,2,TRUE)*B328/VLOOKUP(MONTH(D328),AY283:AZ294,2,TRUE),0)</f>
        <v>#N/A</v>
      </c>
      <c r="V328" s="394" t="e">
        <f t="shared" si="64"/>
        <v>#N/A</v>
      </c>
      <c r="W328" s="394" t="e">
        <f t="shared" si="65"/>
        <v>#N/A</v>
      </c>
      <c r="X328" s="394" t="e">
        <f t="shared" si="76"/>
        <v>#N/A</v>
      </c>
      <c r="Y328" s="394">
        <f t="shared" si="77"/>
        <v>0</v>
      </c>
      <c r="AC328" s="394" t="e">
        <f t="shared" si="78"/>
        <v>#N/A</v>
      </c>
      <c r="AD328" s="394">
        <f t="shared" si="79"/>
        <v>0</v>
      </c>
      <c r="AE328" s="394">
        <f t="shared" si="80"/>
        <v>0</v>
      </c>
      <c r="AG328" s="415">
        <v>40269</v>
      </c>
      <c r="AH328" s="415">
        <f t="shared" si="81"/>
        <v>40269.1</v>
      </c>
      <c r="AI328" s="394">
        <f>VLOOKUP(AH328,E316:AE344,15,TRUE)</f>
        <v>0</v>
      </c>
    </row>
    <row r="329" spans="2:35" ht="12.75">
      <c r="B329" s="393">
        <f t="shared" si="66"/>
        <v>1</v>
      </c>
      <c r="C329" s="393">
        <v>14</v>
      </c>
      <c r="D329" s="393">
        <f>DC296+0.1</f>
        <v>0.1</v>
      </c>
      <c r="E329" s="393">
        <f t="shared" si="67"/>
        <v>0.1</v>
      </c>
      <c r="F329" s="393">
        <v>14</v>
      </c>
      <c r="G329" s="393">
        <f t="shared" si="68"/>
        <v>0</v>
      </c>
      <c r="H329" s="394" t="e">
        <f>ROUND(VLOOKUP(D329,AQ269:AR292,2,TRUE)*B329/VLOOKUP(MONTH(D329),AY283:AZ294,2,TRUE),0)</f>
        <v>#N/A</v>
      </c>
      <c r="I329" s="394">
        <f>VLOOKUP(D329,B296:C299,2,TRUE)</f>
        <v>0</v>
      </c>
      <c r="J329" s="394">
        <f>VLOOKUP(D329,D296:E299,2,TRUE)</f>
        <v>0</v>
      </c>
      <c r="K329" s="394" t="e">
        <f t="shared" si="69"/>
        <v>#N/A</v>
      </c>
      <c r="L329" s="394" t="e">
        <f t="shared" si="70"/>
        <v>#N/A</v>
      </c>
      <c r="M329" s="394" t="e">
        <f t="shared" si="71"/>
        <v>#N/A</v>
      </c>
      <c r="N329" s="394">
        <f t="shared" si="72"/>
        <v>0</v>
      </c>
      <c r="R329" s="394" t="e">
        <f t="shared" si="73"/>
        <v>#N/A</v>
      </c>
      <c r="S329" s="394">
        <f t="shared" si="74"/>
        <v>0</v>
      </c>
      <c r="T329" s="394">
        <f t="shared" si="75"/>
        <v>0</v>
      </c>
      <c r="U329" s="394" t="e">
        <f>ROUND(VLOOKUP(D329,AT269:AU292,2,TRUE)*B329/VLOOKUP(MONTH(D329),AY283:AZ294,2,TRUE),0)</f>
        <v>#N/A</v>
      </c>
      <c r="V329" s="394" t="e">
        <f t="shared" si="64"/>
        <v>#N/A</v>
      </c>
      <c r="W329" s="394" t="e">
        <f t="shared" si="65"/>
        <v>#N/A</v>
      </c>
      <c r="X329" s="394" t="e">
        <f t="shared" si="76"/>
        <v>#N/A</v>
      </c>
      <c r="Y329" s="394">
        <f t="shared" si="77"/>
        <v>0</v>
      </c>
      <c r="AC329" s="394" t="e">
        <f t="shared" si="78"/>
        <v>#N/A</v>
      </c>
      <c r="AD329" s="394">
        <f t="shared" si="79"/>
        <v>0</v>
      </c>
      <c r="AE329" s="394">
        <f t="shared" si="80"/>
        <v>0</v>
      </c>
      <c r="AG329" s="415">
        <v>40299</v>
      </c>
      <c r="AH329" s="415">
        <f t="shared" si="81"/>
        <v>40299.1</v>
      </c>
      <c r="AI329" s="394">
        <f>VLOOKUP(AH329,E316:AE344,15,TRUE)</f>
        <v>0</v>
      </c>
    </row>
    <row r="330" spans="2:35" ht="12.75">
      <c r="B330" s="393">
        <f t="shared" si="66"/>
        <v>1</v>
      </c>
      <c r="C330" s="393">
        <v>15</v>
      </c>
      <c r="D330" s="393">
        <f>DE297+0.1</f>
        <v>0.1</v>
      </c>
      <c r="E330" s="393">
        <f t="shared" si="67"/>
        <v>0.1</v>
      </c>
      <c r="F330" s="393">
        <v>15</v>
      </c>
      <c r="G330" s="393">
        <f t="shared" si="68"/>
        <v>0</v>
      </c>
      <c r="H330" s="394" t="e">
        <f>ROUND(VLOOKUP(D330,AQ269:AR292,2,TRUE)*B330/VLOOKUP(MONTH(D330),AY283:AZ294,2,TRUE),0)</f>
        <v>#N/A</v>
      </c>
      <c r="I330" s="394">
        <f>VLOOKUP(D330,B296:C299,2,TRUE)</f>
        <v>0</v>
      </c>
      <c r="J330" s="394">
        <f>VLOOKUP(D330,D296:E299,2,TRUE)</f>
        <v>0</v>
      </c>
      <c r="K330" s="394" t="e">
        <f t="shared" si="69"/>
        <v>#N/A</v>
      </c>
      <c r="L330" s="394" t="e">
        <f t="shared" si="70"/>
        <v>#N/A</v>
      </c>
      <c r="M330" s="394" t="e">
        <f t="shared" si="71"/>
        <v>#N/A</v>
      </c>
      <c r="N330" s="394">
        <f t="shared" si="72"/>
        <v>0</v>
      </c>
      <c r="R330" s="394" t="e">
        <f t="shared" si="73"/>
        <v>#N/A</v>
      </c>
      <c r="S330" s="394">
        <f t="shared" si="74"/>
        <v>0</v>
      </c>
      <c r="T330" s="394">
        <f t="shared" si="75"/>
        <v>0</v>
      </c>
      <c r="U330" s="394" t="e">
        <f>ROUND(VLOOKUP(D330,AT269:AU292,2,TRUE)*B330/VLOOKUP(MONTH(D330),AY283:AZ294,2,TRUE),0)</f>
        <v>#N/A</v>
      </c>
      <c r="V330" s="394" t="e">
        <f t="shared" si="64"/>
        <v>#N/A</v>
      </c>
      <c r="W330" s="394" t="e">
        <f t="shared" si="65"/>
        <v>#N/A</v>
      </c>
      <c r="X330" s="394" t="e">
        <f t="shared" si="76"/>
        <v>#N/A</v>
      </c>
      <c r="Y330" s="394">
        <f t="shared" si="77"/>
        <v>0</v>
      </c>
      <c r="AC330" s="394" t="e">
        <f t="shared" si="78"/>
        <v>#N/A</v>
      </c>
      <c r="AD330" s="394">
        <f t="shared" si="79"/>
        <v>0</v>
      </c>
      <c r="AE330" s="394">
        <f t="shared" si="80"/>
        <v>0</v>
      </c>
      <c r="AG330" s="415">
        <v>40330</v>
      </c>
      <c r="AH330" s="415">
        <f t="shared" si="81"/>
        <v>40330.1</v>
      </c>
      <c r="AI330" s="394">
        <f>VLOOKUP(AH330,E316:AE344,15,TRUE)</f>
        <v>0</v>
      </c>
    </row>
    <row r="331" spans="2:35" ht="12.75">
      <c r="B331" s="393">
        <f t="shared" si="66"/>
        <v>1</v>
      </c>
      <c r="C331" s="393">
        <v>16</v>
      </c>
      <c r="D331" s="393">
        <f>DG298+0.1</f>
        <v>0.1</v>
      </c>
      <c r="E331" s="393">
        <f t="shared" si="67"/>
        <v>0.1</v>
      </c>
      <c r="F331" s="393">
        <v>16</v>
      </c>
      <c r="G331" s="393">
        <f t="shared" si="68"/>
        <v>0</v>
      </c>
      <c r="H331" s="394" t="e">
        <f>ROUND(VLOOKUP(D331,AQ269:AR292,2,TRUE)*B331/VLOOKUP(MONTH(D331),AY283:AZ294,2,TRUE),0)</f>
        <v>#N/A</v>
      </c>
      <c r="I331" s="394">
        <f>VLOOKUP(D331,B296:C299,2,TRUE)</f>
        <v>0</v>
      </c>
      <c r="J331" s="394">
        <f>VLOOKUP(D331,D296:E299,2,TRUE)</f>
        <v>0</v>
      </c>
      <c r="K331" s="394" t="e">
        <f t="shared" si="69"/>
        <v>#N/A</v>
      </c>
      <c r="L331" s="394" t="e">
        <f t="shared" si="70"/>
        <v>#N/A</v>
      </c>
      <c r="M331" s="394" t="e">
        <f t="shared" si="71"/>
        <v>#N/A</v>
      </c>
      <c r="N331" s="394">
        <f t="shared" si="72"/>
        <v>0</v>
      </c>
      <c r="R331" s="394" t="e">
        <f t="shared" si="73"/>
        <v>#N/A</v>
      </c>
      <c r="S331" s="394">
        <f t="shared" si="74"/>
        <v>0</v>
      </c>
      <c r="T331" s="394">
        <f t="shared" si="75"/>
        <v>0</v>
      </c>
      <c r="U331" s="394" t="e">
        <f>ROUND(VLOOKUP(D331,AT269:AU292,2,TRUE)*B331/VLOOKUP(MONTH(D331),AY283:AZ294,2,TRUE),0)</f>
        <v>#N/A</v>
      </c>
      <c r="V331" s="394" t="e">
        <f t="shared" si="64"/>
        <v>#N/A</v>
      </c>
      <c r="W331" s="394" t="e">
        <f t="shared" si="65"/>
        <v>#N/A</v>
      </c>
      <c r="X331" s="394" t="e">
        <f t="shared" si="76"/>
        <v>#N/A</v>
      </c>
      <c r="Y331" s="394">
        <f t="shared" si="77"/>
        <v>0</v>
      </c>
      <c r="AC331" s="394" t="e">
        <f t="shared" si="78"/>
        <v>#N/A</v>
      </c>
      <c r="AD331" s="394">
        <f t="shared" si="79"/>
        <v>0</v>
      </c>
      <c r="AE331" s="394">
        <f t="shared" si="80"/>
        <v>0</v>
      </c>
      <c r="AG331" s="415">
        <v>40360</v>
      </c>
      <c r="AH331" s="415">
        <f t="shared" si="81"/>
        <v>40360.1</v>
      </c>
      <c r="AI331" s="394">
        <f>VLOOKUP(AH331,E316:AE344,15,TRUE)</f>
        <v>0</v>
      </c>
    </row>
    <row r="332" spans="2:35" ht="12.75">
      <c r="B332" s="393">
        <f t="shared" si="66"/>
        <v>1</v>
      </c>
      <c r="C332" s="393">
        <v>17</v>
      </c>
      <c r="D332" s="393">
        <f>DI299+0.1</f>
        <v>0.1</v>
      </c>
      <c r="E332" s="393">
        <f t="shared" si="67"/>
        <v>0.1</v>
      </c>
      <c r="F332" s="393">
        <v>17</v>
      </c>
      <c r="G332" s="393">
        <f t="shared" si="68"/>
        <v>0</v>
      </c>
      <c r="H332" s="394" t="e">
        <f>ROUND(VLOOKUP(D332,AQ269:AR292,2,TRUE)*B332/VLOOKUP(MONTH(D332),AY283:AZ294,2,TRUE),0)</f>
        <v>#N/A</v>
      </c>
      <c r="I332" s="394">
        <f>VLOOKUP(D332,B296:C299,2,TRUE)</f>
        <v>0</v>
      </c>
      <c r="J332" s="394">
        <f>VLOOKUP(D332,D296:E299,2,TRUE)</f>
        <v>0</v>
      </c>
      <c r="K332" s="394" t="e">
        <f t="shared" si="69"/>
        <v>#N/A</v>
      </c>
      <c r="L332" s="394" t="e">
        <f t="shared" si="70"/>
        <v>#N/A</v>
      </c>
      <c r="M332" s="394" t="e">
        <f t="shared" si="71"/>
        <v>#N/A</v>
      </c>
      <c r="N332" s="394">
        <f t="shared" si="72"/>
        <v>0</v>
      </c>
      <c r="R332" s="394" t="e">
        <f t="shared" si="73"/>
        <v>#N/A</v>
      </c>
      <c r="S332" s="394">
        <f t="shared" si="74"/>
        <v>0</v>
      </c>
      <c r="T332" s="394">
        <f t="shared" si="75"/>
        <v>0</v>
      </c>
      <c r="U332" s="394" t="e">
        <f>ROUND(VLOOKUP(D332,AT269:AU292,2,TRUE)*B332/VLOOKUP(MONTH(D332),AY283:AZ294,2,TRUE),0)</f>
        <v>#N/A</v>
      </c>
      <c r="V332" s="394" t="e">
        <f t="shared" si="64"/>
        <v>#N/A</v>
      </c>
      <c r="W332" s="394" t="e">
        <f t="shared" si="65"/>
        <v>#N/A</v>
      </c>
      <c r="X332" s="394" t="e">
        <f t="shared" si="76"/>
        <v>#N/A</v>
      </c>
      <c r="Y332" s="394">
        <f t="shared" si="77"/>
        <v>0</v>
      </c>
      <c r="AC332" s="394" t="e">
        <f t="shared" si="78"/>
        <v>#N/A</v>
      </c>
      <c r="AD332" s="394">
        <f t="shared" si="79"/>
        <v>0</v>
      </c>
      <c r="AE332" s="394">
        <f t="shared" si="80"/>
        <v>0</v>
      </c>
      <c r="AG332" s="415">
        <v>40391</v>
      </c>
      <c r="AH332" s="415">
        <f t="shared" si="81"/>
        <v>40391.1</v>
      </c>
      <c r="AI332" s="394">
        <f>VLOOKUP(AH332,E316:AE344,15,TRUE)</f>
        <v>0</v>
      </c>
    </row>
    <row r="333" spans="2:35" ht="12.75">
      <c r="B333" s="393">
        <f t="shared" si="66"/>
        <v>1</v>
      </c>
      <c r="C333" s="393">
        <v>18</v>
      </c>
      <c r="D333" s="393">
        <f>DK300+0.1</f>
        <v>0.1</v>
      </c>
      <c r="E333" s="393">
        <f t="shared" si="67"/>
        <v>0.1</v>
      </c>
      <c r="F333" s="393">
        <v>18</v>
      </c>
      <c r="G333" s="393">
        <f t="shared" si="68"/>
        <v>0</v>
      </c>
      <c r="H333" s="394" t="e">
        <f>ROUND(VLOOKUP(D333,AQ269:AR292,2,TRUE)*B333/VLOOKUP(MONTH(D333),AY283:AZ294,2,TRUE),0)</f>
        <v>#N/A</v>
      </c>
      <c r="I333" s="394">
        <f>VLOOKUP(D333,B296:C299,2,TRUE)</f>
        <v>0</v>
      </c>
      <c r="J333" s="394">
        <f>VLOOKUP(D333,D296:E299,2,TRUE)</f>
        <v>0</v>
      </c>
      <c r="K333" s="394" t="e">
        <f t="shared" si="69"/>
        <v>#N/A</v>
      </c>
      <c r="L333" s="394" t="e">
        <f t="shared" si="70"/>
        <v>#N/A</v>
      </c>
      <c r="M333" s="394" t="e">
        <f t="shared" si="71"/>
        <v>#N/A</v>
      </c>
      <c r="N333" s="394">
        <f t="shared" si="72"/>
        <v>0</v>
      </c>
      <c r="R333" s="394" t="e">
        <f t="shared" si="73"/>
        <v>#N/A</v>
      </c>
      <c r="S333" s="394">
        <f t="shared" si="74"/>
        <v>0</v>
      </c>
      <c r="T333" s="394">
        <f t="shared" si="75"/>
        <v>0</v>
      </c>
      <c r="U333" s="394" t="e">
        <f>ROUND(VLOOKUP(D333,AT269:AU292,2,TRUE)*B333/VLOOKUP(MONTH(D333),AY283:AZ294,2,TRUE),0)</f>
        <v>#N/A</v>
      </c>
      <c r="V333" s="394" t="e">
        <f t="shared" si="64"/>
        <v>#N/A</v>
      </c>
      <c r="W333" s="394" t="e">
        <f t="shared" si="65"/>
        <v>#N/A</v>
      </c>
      <c r="X333" s="394" t="e">
        <f t="shared" si="76"/>
        <v>#N/A</v>
      </c>
      <c r="Y333" s="394">
        <f t="shared" si="77"/>
        <v>0</v>
      </c>
      <c r="AC333" s="394" t="e">
        <f t="shared" si="78"/>
        <v>#N/A</v>
      </c>
      <c r="AD333" s="394">
        <f t="shared" si="79"/>
        <v>0</v>
      </c>
      <c r="AE333" s="394">
        <f t="shared" si="80"/>
        <v>0</v>
      </c>
      <c r="AG333" s="415">
        <v>40422</v>
      </c>
      <c r="AH333" s="415">
        <f t="shared" si="81"/>
        <v>40422.1</v>
      </c>
      <c r="AI333" s="394">
        <f>VLOOKUP(AH333,E316:AE344,15,TRUE)</f>
        <v>0</v>
      </c>
    </row>
    <row r="334" spans="2:35" ht="12.75">
      <c r="B334" s="393">
        <f t="shared" si="66"/>
        <v>1</v>
      </c>
      <c r="C334" s="393">
        <v>19</v>
      </c>
      <c r="D334" s="393">
        <f>DM301+0.1</f>
        <v>0.1</v>
      </c>
      <c r="E334" s="393">
        <f t="shared" si="67"/>
        <v>0.1</v>
      </c>
      <c r="F334" s="393">
        <v>19</v>
      </c>
      <c r="G334" s="393">
        <f t="shared" si="68"/>
        <v>0</v>
      </c>
      <c r="H334" s="394" t="e">
        <f>ROUND(VLOOKUP(D334,AQ269:AR292,2,TRUE)*B334/VLOOKUP(MONTH(D334),AY283:AZ294,2,TRUE),0)</f>
        <v>#N/A</v>
      </c>
      <c r="I334" s="394">
        <f>VLOOKUP(D334,B296:C299,2,TRUE)</f>
        <v>0</v>
      </c>
      <c r="J334" s="394">
        <f>VLOOKUP(D334,D296:E299,2,TRUE)</f>
        <v>0</v>
      </c>
      <c r="K334" s="394" t="e">
        <f t="shared" si="69"/>
        <v>#N/A</v>
      </c>
      <c r="L334" s="394" t="e">
        <f t="shared" si="70"/>
        <v>#N/A</v>
      </c>
      <c r="M334" s="394" t="e">
        <f t="shared" si="71"/>
        <v>#N/A</v>
      </c>
      <c r="N334" s="394">
        <f t="shared" si="72"/>
        <v>0</v>
      </c>
      <c r="R334" s="394" t="e">
        <f t="shared" si="73"/>
        <v>#N/A</v>
      </c>
      <c r="S334" s="394">
        <f t="shared" si="74"/>
        <v>0</v>
      </c>
      <c r="T334" s="394">
        <f t="shared" si="75"/>
        <v>0</v>
      </c>
      <c r="U334" s="394" t="e">
        <f>ROUND(VLOOKUP(D334,AT269:AU292,2,TRUE)*B334/VLOOKUP(MONTH(D334),AY283:AZ294,2,TRUE),0)</f>
        <v>#N/A</v>
      </c>
      <c r="V334" s="394" t="e">
        <f t="shared" si="64"/>
        <v>#N/A</v>
      </c>
      <c r="W334" s="394" t="e">
        <f t="shared" si="65"/>
        <v>#N/A</v>
      </c>
      <c r="X334" s="394" t="e">
        <f t="shared" si="76"/>
        <v>#N/A</v>
      </c>
      <c r="Y334" s="394">
        <f t="shared" si="77"/>
        <v>0</v>
      </c>
      <c r="AC334" s="394" t="e">
        <f t="shared" si="78"/>
        <v>#N/A</v>
      </c>
      <c r="AD334" s="394">
        <f t="shared" si="79"/>
        <v>0</v>
      </c>
      <c r="AE334" s="394">
        <f t="shared" si="80"/>
        <v>0</v>
      </c>
      <c r="AG334" s="415">
        <v>40452</v>
      </c>
      <c r="AH334" s="415">
        <f t="shared" si="81"/>
        <v>40452.1</v>
      </c>
      <c r="AI334" s="394">
        <f>VLOOKUP(AH334,E316:AE344,15,TRUE)</f>
        <v>0</v>
      </c>
    </row>
    <row r="335" spans="2:35" ht="12.75">
      <c r="B335" s="393">
        <f t="shared" si="66"/>
        <v>1</v>
      </c>
      <c r="C335" s="393">
        <v>20</v>
      </c>
      <c r="D335" s="393">
        <f>DO302+0.1</f>
        <v>0.1</v>
      </c>
      <c r="E335" s="393">
        <f t="shared" si="67"/>
        <v>0.1</v>
      </c>
      <c r="F335" s="393">
        <v>20</v>
      </c>
      <c r="G335" s="393">
        <f t="shared" si="68"/>
        <v>0</v>
      </c>
      <c r="H335" s="394" t="e">
        <f>ROUND(VLOOKUP(D335,AQ269:AR292,2,TRUE)*B335/VLOOKUP(MONTH(D335),AY283:AZ294,2,TRUE),0)</f>
        <v>#N/A</v>
      </c>
      <c r="I335" s="394">
        <f>VLOOKUP(D335,B296:C299,2,TRUE)</f>
        <v>0</v>
      </c>
      <c r="J335" s="394">
        <f>VLOOKUP(D335,D296:E299,2,TRUE)</f>
        <v>0</v>
      </c>
      <c r="K335" s="394" t="e">
        <f t="shared" si="69"/>
        <v>#N/A</v>
      </c>
      <c r="L335" s="394" t="e">
        <f t="shared" si="70"/>
        <v>#N/A</v>
      </c>
      <c r="M335" s="394" t="e">
        <f t="shared" si="71"/>
        <v>#N/A</v>
      </c>
      <c r="N335" s="394">
        <f t="shared" si="72"/>
        <v>0</v>
      </c>
      <c r="R335" s="394" t="e">
        <f t="shared" si="73"/>
        <v>#N/A</v>
      </c>
      <c r="S335" s="394">
        <f t="shared" si="74"/>
        <v>0</v>
      </c>
      <c r="T335" s="394">
        <f t="shared" si="75"/>
        <v>0</v>
      </c>
      <c r="U335" s="394" t="e">
        <f>ROUND(VLOOKUP(D335,AT269:AU292,2,TRUE)*B335/VLOOKUP(MONTH(D335),AY283:AZ294,2,TRUE),0)</f>
        <v>#N/A</v>
      </c>
      <c r="V335" s="394" t="e">
        <f t="shared" si="64"/>
        <v>#N/A</v>
      </c>
      <c r="W335" s="394" t="e">
        <f t="shared" si="65"/>
        <v>#N/A</v>
      </c>
      <c r="X335" s="394" t="e">
        <f t="shared" si="76"/>
        <v>#N/A</v>
      </c>
      <c r="Y335" s="394">
        <f t="shared" si="77"/>
        <v>0</v>
      </c>
      <c r="AC335" s="394" t="e">
        <f t="shared" si="78"/>
        <v>#N/A</v>
      </c>
      <c r="AD335" s="394">
        <f t="shared" si="79"/>
        <v>0</v>
      </c>
      <c r="AE335" s="394">
        <f t="shared" si="80"/>
        <v>0</v>
      </c>
      <c r="AG335" s="415">
        <v>40483</v>
      </c>
      <c r="AH335" s="415">
        <f t="shared" si="81"/>
        <v>40483.1</v>
      </c>
      <c r="AI335" s="394">
        <f>VLOOKUP(AH335,E316:AE344,15,TRUE)</f>
        <v>0</v>
      </c>
    </row>
    <row r="336" spans="2:35" ht="12.75">
      <c r="B336" s="393">
        <f t="shared" si="66"/>
        <v>1</v>
      </c>
      <c r="C336" s="393">
        <v>21</v>
      </c>
      <c r="D336" s="393">
        <f>DQ303+0.1</f>
        <v>0.1</v>
      </c>
      <c r="E336" s="393">
        <f t="shared" si="67"/>
        <v>0.1</v>
      </c>
      <c r="F336" s="393">
        <v>21</v>
      </c>
      <c r="G336" s="393">
        <f t="shared" si="68"/>
        <v>0</v>
      </c>
      <c r="H336" s="394" t="e">
        <f>ROUND(VLOOKUP(D336,AQ269:AR292,2,TRUE)*B336/VLOOKUP(MONTH(D336),AY283:AZ294,2,TRUE),0)</f>
        <v>#N/A</v>
      </c>
      <c r="I336" s="394">
        <f>VLOOKUP(D336,B296:C299,2,TRUE)</f>
        <v>0</v>
      </c>
      <c r="J336" s="394">
        <f>VLOOKUP(D336,D296:E299,2,TRUE)</f>
        <v>0</v>
      </c>
      <c r="K336" s="394" t="e">
        <f t="shared" si="69"/>
        <v>#N/A</v>
      </c>
      <c r="L336" s="394" t="e">
        <f t="shared" si="70"/>
        <v>#N/A</v>
      </c>
      <c r="M336" s="394" t="e">
        <f t="shared" si="71"/>
        <v>#N/A</v>
      </c>
      <c r="N336" s="394">
        <f t="shared" si="72"/>
        <v>0</v>
      </c>
      <c r="R336" s="394" t="e">
        <f t="shared" si="73"/>
        <v>#N/A</v>
      </c>
      <c r="S336" s="394">
        <f t="shared" si="74"/>
        <v>0</v>
      </c>
      <c r="T336" s="394">
        <f t="shared" si="75"/>
        <v>0</v>
      </c>
      <c r="U336" s="394" t="e">
        <f>ROUND(VLOOKUP(D336,AT269:AU292,2,TRUE)*B336/VLOOKUP(MONTH(D336),AY283:AZ294,2,TRUE),0)</f>
        <v>#N/A</v>
      </c>
      <c r="V336" s="394" t="e">
        <f t="shared" si="64"/>
        <v>#N/A</v>
      </c>
      <c r="W336" s="394" t="e">
        <f t="shared" si="65"/>
        <v>#N/A</v>
      </c>
      <c r="X336" s="394" t="e">
        <f t="shared" si="76"/>
        <v>#N/A</v>
      </c>
      <c r="Y336" s="394">
        <f t="shared" si="77"/>
        <v>0</v>
      </c>
      <c r="AC336" s="394" t="e">
        <f t="shared" si="78"/>
        <v>#N/A</v>
      </c>
      <c r="AD336" s="394">
        <f t="shared" si="79"/>
        <v>0</v>
      </c>
      <c r="AE336" s="394">
        <f t="shared" si="80"/>
        <v>0</v>
      </c>
      <c r="AG336" s="415">
        <v>40513</v>
      </c>
      <c r="AH336" s="415">
        <f t="shared" si="81"/>
        <v>40513.1</v>
      </c>
      <c r="AI336" s="394">
        <f>VLOOKUP(AH336,E316:AE344,15,TRUE)</f>
        <v>0</v>
      </c>
    </row>
    <row r="337" spans="2:35" ht="12.75">
      <c r="B337" s="393">
        <f t="shared" si="66"/>
        <v>1</v>
      </c>
      <c r="C337" s="393">
        <v>22</v>
      </c>
      <c r="D337" s="393">
        <f>DS304+0.1</f>
        <v>0.1</v>
      </c>
      <c r="E337" s="393">
        <f t="shared" si="67"/>
        <v>0.1</v>
      </c>
      <c r="F337" s="393">
        <v>22</v>
      </c>
      <c r="G337" s="393">
        <f t="shared" si="68"/>
        <v>0</v>
      </c>
      <c r="H337" s="394" t="e">
        <f>ROUND(VLOOKUP(D337,AQ269:AR292,2,TRUE)*B337/VLOOKUP(MONTH(D337),AY283:AZ294,2,TRUE),0)</f>
        <v>#N/A</v>
      </c>
      <c r="I337" s="394">
        <f>VLOOKUP(D337,B296:C299,2,TRUE)</f>
        <v>0</v>
      </c>
      <c r="J337" s="394">
        <f>VLOOKUP(D337,D296:E299,2,TRUE)</f>
        <v>0</v>
      </c>
      <c r="K337" s="394" t="e">
        <f t="shared" si="69"/>
        <v>#N/A</v>
      </c>
      <c r="L337" s="394" t="e">
        <f t="shared" si="70"/>
        <v>#N/A</v>
      </c>
      <c r="M337" s="394" t="e">
        <f t="shared" si="71"/>
        <v>#N/A</v>
      </c>
      <c r="N337" s="394">
        <f t="shared" si="72"/>
        <v>0</v>
      </c>
      <c r="R337" s="394" t="e">
        <f t="shared" si="73"/>
        <v>#N/A</v>
      </c>
      <c r="S337" s="394">
        <f t="shared" si="74"/>
        <v>0</v>
      </c>
      <c r="T337" s="394">
        <f t="shared" si="75"/>
        <v>0</v>
      </c>
      <c r="U337" s="394" t="e">
        <f>ROUND(VLOOKUP(D337,AT269:AU292,2,TRUE)*B337/VLOOKUP(MONTH(D337),AY283:AZ294,2,TRUE),0)</f>
        <v>#N/A</v>
      </c>
      <c r="V337" s="394" t="e">
        <f t="shared" si="64"/>
        <v>#N/A</v>
      </c>
      <c r="W337" s="394" t="e">
        <f t="shared" si="65"/>
        <v>#N/A</v>
      </c>
      <c r="X337" s="394" t="e">
        <f t="shared" si="76"/>
        <v>#N/A</v>
      </c>
      <c r="Y337" s="394">
        <f t="shared" si="77"/>
        <v>0</v>
      </c>
      <c r="AC337" s="394" t="e">
        <f t="shared" si="78"/>
        <v>#N/A</v>
      </c>
      <c r="AD337" s="394">
        <f t="shared" si="79"/>
        <v>0</v>
      </c>
      <c r="AE337" s="394">
        <f t="shared" si="80"/>
        <v>0</v>
      </c>
      <c r="AG337" s="415">
        <v>40544</v>
      </c>
      <c r="AH337" s="415">
        <f t="shared" si="81"/>
        <v>40544.1</v>
      </c>
      <c r="AI337" s="394">
        <f>VLOOKUP(AH337,E316:AE344,15,TRUE)</f>
        <v>0</v>
      </c>
    </row>
    <row r="338" spans="2:35" ht="12.75">
      <c r="B338" s="393">
        <f t="shared" si="66"/>
        <v>1</v>
      </c>
      <c r="C338" s="393">
        <v>23</v>
      </c>
      <c r="D338" s="393">
        <f>DU305+0.1</f>
        <v>0.1</v>
      </c>
      <c r="E338" s="393">
        <f t="shared" si="67"/>
        <v>0.1</v>
      </c>
      <c r="F338" s="393">
        <v>23</v>
      </c>
      <c r="G338" s="393">
        <f t="shared" si="68"/>
        <v>0</v>
      </c>
      <c r="H338" s="394" t="e">
        <f>ROUND(VLOOKUP(D338,AQ269:AR292,2,TRUE)*B338/VLOOKUP(MONTH(D338),AY283:AZ294,2,TRUE),0)</f>
        <v>#N/A</v>
      </c>
      <c r="I338" s="394">
        <f>VLOOKUP(D338,B296:C299,2,TRUE)</f>
        <v>0</v>
      </c>
      <c r="J338" s="394">
        <f>VLOOKUP(D338,D296:E299,2,TRUE)</f>
        <v>0</v>
      </c>
      <c r="K338" s="394" t="e">
        <f t="shared" si="69"/>
        <v>#N/A</v>
      </c>
      <c r="L338" s="394" t="e">
        <f t="shared" si="70"/>
        <v>#N/A</v>
      </c>
      <c r="M338" s="394" t="e">
        <f t="shared" si="71"/>
        <v>#N/A</v>
      </c>
      <c r="N338" s="394">
        <f t="shared" si="72"/>
        <v>0</v>
      </c>
      <c r="R338" s="394" t="e">
        <f t="shared" si="73"/>
        <v>#N/A</v>
      </c>
      <c r="S338" s="394">
        <f t="shared" si="74"/>
        <v>0</v>
      </c>
      <c r="T338" s="394">
        <f t="shared" si="75"/>
        <v>0</v>
      </c>
      <c r="U338" s="394" t="e">
        <f>ROUND(VLOOKUP(D338,AT269:AU292,2,TRUE)*B338/VLOOKUP(MONTH(D338),AY283:AZ294,2,TRUE),0)</f>
        <v>#N/A</v>
      </c>
      <c r="V338" s="394" t="e">
        <f t="shared" si="64"/>
        <v>#N/A</v>
      </c>
      <c r="W338" s="394" t="e">
        <f t="shared" si="65"/>
        <v>#N/A</v>
      </c>
      <c r="X338" s="394" t="e">
        <f t="shared" si="76"/>
        <v>#N/A</v>
      </c>
      <c r="Y338" s="394">
        <f t="shared" si="77"/>
        <v>0</v>
      </c>
      <c r="AC338" s="394" t="e">
        <f t="shared" si="78"/>
        <v>#N/A</v>
      </c>
      <c r="AD338" s="394">
        <f t="shared" si="79"/>
        <v>0</v>
      </c>
      <c r="AE338" s="394">
        <f t="shared" si="80"/>
        <v>0</v>
      </c>
      <c r="AG338" s="415">
        <v>40575</v>
      </c>
      <c r="AH338" s="415">
        <f t="shared" si="81"/>
        <v>40575.1</v>
      </c>
      <c r="AI338" s="394">
        <f>VLOOKUP(AH338,E316:AE344,15,TRUE)</f>
        <v>0</v>
      </c>
    </row>
    <row r="339" spans="2:35" ht="12.75">
      <c r="B339" s="393">
        <f t="shared" si="66"/>
        <v>1</v>
      </c>
      <c r="C339" s="393">
        <v>24</v>
      </c>
      <c r="D339" s="393">
        <f>DW306+0.1</f>
        <v>0.1</v>
      </c>
      <c r="E339" s="393">
        <f t="shared" si="67"/>
        <v>0.1</v>
      </c>
      <c r="F339" s="393">
        <v>24</v>
      </c>
      <c r="G339" s="393">
        <f t="shared" si="68"/>
        <v>0</v>
      </c>
      <c r="H339" s="394" t="e">
        <f>ROUND(VLOOKUP(D339,AQ269:AR292,2,TRUE)*B339/VLOOKUP(MONTH(D339),AY283:AZ294,2,TRUE),0)</f>
        <v>#N/A</v>
      </c>
      <c r="I339" s="394">
        <f>VLOOKUP(D339,B296:C299,2,TRUE)</f>
        <v>0</v>
      </c>
      <c r="J339" s="394">
        <f>VLOOKUP(D339,D296:E299,2,TRUE)</f>
        <v>0</v>
      </c>
      <c r="K339" s="394" t="e">
        <f t="shared" si="69"/>
        <v>#N/A</v>
      </c>
      <c r="L339" s="394" t="e">
        <f t="shared" si="70"/>
        <v>#N/A</v>
      </c>
      <c r="M339" s="394" t="e">
        <f t="shared" si="71"/>
        <v>#N/A</v>
      </c>
      <c r="N339" s="394">
        <f t="shared" si="72"/>
        <v>0</v>
      </c>
      <c r="R339" s="394" t="e">
        <f t="shared" si="73"/>
        <v>#N/A</v>
      </c>
      <c r="S339" s="394">
        <f t="shared" si="74"/>
        <v>0</v>
      </c>
      <c r="T339" s="394">
        <f t="shared" si="75"/>
        <v>0</v>
      </c>
      <c r="U339" s="394" t="e">
        <f>ROUND(VLOOKUP(D339,AT269:AU292,2,TRUE)*B339/VLOOKUP(MONTH(D339),AY283:AZ294,2,TRUE),0)</f>
        <v>#N/A</v>
      </c>
      <c r="V339" s="394" t="e">
        <f t="shared" si="64"/>
        <v>#N/A</v>
      </c>
      <c r="W339" s="394" t="e">
        <f t="shared" si="65"/>
        <v>#N/A</v>
      </c>
      <c r="X339" s="394" t="e">
        <f t="shared" si="76"/>
        <v>#N/A</v>
      </c>
      <c r="Y339" s="394">
        <f t="shared" si="77"/>
        <v>0</v>
      </c>
      <c r="AC339" s="394" t="e">
        <f t="shared" si="78"/>
        <v>#N/A</v>
      </c>
      <c r="AD339" s="394">
        <f t="shared" si="79"/>
        <v>0</v>
      </c>
      <c r="AE339" s="394">
        <f t="shared" si="80"/>
        <v>0</v>
      </c>
      <c r="AG339" s="415">
        <v>40603</v>
      </c>
      <c r="AH339" s="415">
        <f t="shared" si="81"/>
        <v>40603.1</v>
      </c>
      <c r="AI339" s="394">
        <f>VLOOKUP(AH339,E316:AE344,15,TRUE)</f>
        <v>0</v>
      </c>
    </row>
    <row r="340" spans="2:35" ht="12.75">
      <c r="B340" s="393">
        <f t="shared" si="66"/>
        <v>1</v>
      </c>
      <c r="C340" s="393">
        <v>25</v>
      </c>
      <c r="D340" s="393">
        <f>DY307+0.1</f>
        <v>0.1</v>
      </c>
      <c r="E340" s="393">
        <f t="shared" si="67"/>
        <v>0.1</v>
      </c>
      <c r="F340" s="393">
        <v>25</v>
      </c>
      <c r="G340" s="393">
        <f t="shared" si="68"/>
        <v>0</v>
      </c>
      <c r="H340" s="394" t="e">
        <f>ROUND(VLOOKUP(D340,AQ269:AR292,2,TRUE)*B340/VLOOKUP(MONTH(D340),AY283:AZ294,2,TRUE),0)</f>
        <v>#N/A</v>
      </c>
      <c r="I340" s="394">
        <f>VLOOKUP(D340,B296:C299,2,TRUE)</f>
        <v>0</v>
      </c>
      <c r="J340" s="394">
        <f>VLOOKUP(D340,D296:E299,2,TRUE)</f>
        <v>0</v>
      </c>
      <c r="K340" s="394" t="e">
        <f t="shared" si="69"/>
        <v>#N/A</v>
      </c>
      <c r="L340" s="394" t="e">
        <f t="shared" si="70"/>
        <v>#N/A</v>
      </c>
      <c r="M340" s="394" t="e">
        <f t="shared" si="71"/>
        <v>#N/A</v>
      </c>
      <c r="N340" s="394">
        <f t="shared" si="72"/>
        <v>0</v>
      </c>
      <c r="R340" s="394" t="e">
        <f t="shared" si="73"/>
        <v>#N/A</v>
      </c>
      <c r="S340" s="394">
        <f t="shared" si="74"/>
        <v>0</v>
      </c>
      <c r="T340" s="394">
        <f t="shared" si="75"/>
        <v>0</v>
      </c>
      <c r="U340" s="394" t="e">
        <f>ROUND(VLOOKUP(D340,AT269:AU292,2,TRUE)*B340/VLOOKUP(MONTH(D340),AY283:AZ294,2,TRUE),0)</f>
        <v>#N/A</v>
      </c>
      <c r="V340" s="394" t="e">
        <f t="shared" si="64"/>
        <v>#N/A</v>
      </c>
      <c r="W340" s="394" t="e">
        <f t="shared" si="65"/>
        <v>#N/A</v>
      </c>
      <c r="X340" s="394" t="e">
        <f t="shared" si="76"/>
        <v>#N/A</v>
      </c>
      <c r="Y340" s="394">
        <f t="shared" si="77"/>
        <v>0</v>
      </c>
      <c r="AC340" s="394" t="e">
        <f t="shared" si="78"/>
        <v>#N/A</v>
      </c>
      <c r="AD340" s="394">
        <f t="shared" si="79"/>
        <v>0</v>
      </c>
      <c r="AE340" s="394">
        <f t="shared" si="80"/>
        <v>0</v>
      </c>
      <c r="AG340" s="415">
        <v>40634</v>
      </c>
      <c r="AH340" s="415">
        <f t="shared" si="81"/>
        <v>40634.1</v>
      </c>
      <c r="AI340" s="394">
        <f>VLOOKUP(AH340,E316:AE344,15,TRUE)</f>
        <v>0</v>
      </c>
    </row>
    <row r="341" spans="2:35" ht="12.75">
      <c r="B341" s="393">
        <f t="shared" si="66"/>
        <v>1</v>
      </c>
      <c r="C341" s="393">
        <v>26</v>
      </c>
      <c r="D341" s="393">
        <f>EA308+0.1</f>
        <v>0.1</v>
      </c>
      <c r="E341" s="393">
        <f t="shared" si="67"/>
        <v>0.1</v>
      </c>
      <c r="F341" s="393">
        <v>26</v>
      </c>
      <c r="G341" s="393">
        <f t="shared" si="68"/>
        <v>0</v>
      </c>
      <c r="H341" s="394" t="e">
        <f>ROUND(VLOOKUP(D341,AQ269:AR292,2,TRUE)*B341/VLOOKUP(MONTH(D341),AY283:AZ294,2,TRUE),0)</f>
        <v>#N/A</v>
      </c>
      <c r="I341" s="394">
        <f>VLOOKUP(D341,B296:C299,2,TRUE)</f>
        <v>0</v>
      </c>
      <c r="J341" s="394">
        <f>VLOOKUP(D341,D296:E299,2,TRUE)</f>
        <v>0</v>
      </c>
      <c r="K341" s="394" t="e">
        <f t="shared" si="69"/>
        <v>#N/A</v>
      </c>
      <c r="L341" s="394" t="e">
        <f t="shared" si="70"/>
        <v>#N/A</v>
      </c>
      <c r="M341" s="394" t="e">
        <f t="shared" si="71"/>
        <v>#N/A</v>
      </c>
      <c r="N341" s="394">
        <f t="shared" si="72"/>
        <v>0</v>
      </c>
      <c r="R341" s="394" t="e">
        <f t="shared" si="73"/>
        <v>#N/A</v>
      </c>
      <c r="S341" s="394">
        <f t="shared" si="74"/>
        <v>0</v>
      </c>
      <c r="T341" s="394">
        <f t="shared" si="75"/>
        <v>0</v>
      </c>
      <c r="U341" s="394" t="e">
        <f>ROUND(VLOOKUP(D341,AT269:AU292,2,TRUE)*B341/VLOOKUP(MONTH(D341),AY283:AZ294,2,TRUE),0)</f>
        <v>#N/A</v>
      </c>
      <c r="V341" s="394" t="e">
        <f t="shared" si="64"/>
        <v>#N/A</v>
      </c>
      <c r="W341" s="394" t="e">
        <f t="shared" si="65"/>
        <v>#N/A</v>
      </c>
      <c r="X341" s="394" t="e">
        <f t="shared" si="76"/>
        <v>#N/A</v>
      </c>
      <c r="Y341" s="394">
        <f t="shared" si="77"/>
        <v>0</v>
      </c>
      <c r="AC341" s="394" t="e">
        <f t="shared" si="78"/>
        <v>#N/A</v>
      </c>
      <c r="AD341" s="394">
        <f t="shared" si="79"/>
        <v>0</v>
      </c>
      <c r="AE341" s="394">
        <f t="shared" si="80"/>
        <v>0</v>
      </c>
      <c r="AG341" s="415">
        <v>40664</v>
      </c>
      <c r="AH341" s="415">
        <f t="shared" si="81"/>
        <v>40664.1</v>
      </c>
      <c r="AI341" s="394">
        <f>VLOOKUP(AH341,E316:AE344,15,TRUE)</f>
        <v>0</v>
      </c>
    </row>
    <row r="342" spans="2:35" ht="12.75">
      <c r="B342" s="393">
        <f t="shared" si="66"/>
        <v>1</v>
      </c>
      <c r="C342" s="393">
        <v>27</v>
      </c>
      <c r="D342" s="393">
        <f>EC309+0.1</f>
        <v>0.1</v>
      </c>
      <c r="E342" s="393">
        <f t="shared" si="67"/>
        <v>0.1</v>
      </c>
      <c r="F342" s="393">
        <v>27</v>
      </c>
      <c r="G342" s="393">
        <f t="shared" si="68"/>
        <v>0</v>
      </c>
      <c r="H342" s="394" t="e">
        <f>ROUND(VLOOKUP(D342,AQ269:AR292,2,TRUE)*B342/VLOOKUP(MONTH(D342),AY283:AZ294,2,TRUE),0)</f>
        <v>#N/A</v>
      </c>
      <c r="I342" s="394">
        <f>VLOOKUP(D342,B296:C299,2,TRUE)</f>
        <v>0</v>
      </c>
      <c r="J342" s="394">
        <f>VLOOKUP(D342,D296:E299,2,TRUE)</f>
        <v>0</v>
      </c>
      <c r="K342" s="394" t="e">
        <f t="shared" si="69"/>
        <v>#N/A</v>
      </c>
      <c r="L342" s="394" t="e">
        <f t="shared" si="70"/>
        <v>#N/A</v>
      </c>
      <c r="M342" s="394" t="e">
        <f t="shared" si="71"/>
        <v>#N/A</v>
      </c>
      <c r="N342" s="394">
        <f t="shared" si="72"/>
        <v>0</v>
      </c>
      <c r="R342" s="394" t="e">
        <f t="shared" si="73"/>
        <v>#N/A</v>
      </c>
      <c r="S342" s="394">
        <f t="shared" si="74"/>
        <v>0</v>
      </c>
      <c r="T342" s="394">
        <f t="shared" si="75"/>
        <v>0</v>
      </c>
      <c r="U342" s="394" t="e">
        <f>ROUND(VLOOKUP(D342,AT269:AU292,2,TRUE)*B342/VLOOKUP(MONTH(D342),AY283:AZ294,2,TRUE),0)</f>
        <v>#N/A</v>
      </c>
      <c r="V342" s="394" t="e">
        <f t="shared" si="64"/>
        <v>#N/A</v>
      </c>
      <c r="W342" s="394" t="e">
        <f t="shared" si="65"/>
        <v>#N/A</v>
      </c>
      <c r="X342" s="394" t="e">
        <f t="shared" si="76"/>
        <v>#N/A</v>
      </c>
      <c r="Y342" s="394">
        <f t="shared" si="77"/>
        <v>0</v>
      </c>
      <c r="AC342" s="394" t="e">
        <f t="shared" si="78"/>
        <v>#N/A</v>
      </c>
      <c r="AD342" s="394">
        <f t="shared" si="79"/>
        <v>0</v>
      </c>
      <c r="AE342" s="394">
        <f t="shared" si="80"/>
        <v>0</v>
      </c>
      <c r="AG342" s="415">
        <v>40695</v>
      </c>
      <c r="AH342" s="415">
        <f t="shared" si="81"/>
        <v>40695.1</v>
      </c>
      <c r="AI342" s="394">
        <f>VLOOKUP(AH342,E316:AE344,15,TRUE)</f>
        <v>0</v>
      </c>
    </row>
    <row r="343" spans="2:35" ht="12.75">
      <c r="B343" s="393">
        <f t="shared" si="66"/>
        <v>1</v>
      </c>
      <c r="C343" s="393">
        <v>28</v>
      </c>
      <c r="D343" s="393">
        <f>EE310+0.1</f>
        <v>0.1</v>
      </c>
      <c r="E343" s="393">
        <f t="shared" si="67"/>
        <v>0.1</v>
      </c>
      <c r="F343" s="393">
        <v>28</v>
      </c>
      <c r="G343" s="393">
        <f t="shared" si="68"/>
        <v>0</v>
      </c>
      <c r="H343" s="394" t="e">
        <f>ROUND(VLOOKUP(D343,AQ269:AR292,2,TRUE)*B343/VLOOKUP(MONTH(D343),AY283:AZ294,2,TRUE),0)</f>
        <v>#N/A</v>
      </c>
      <c r="I343" s="394">
        <f>VLOOKUP(D343,B296:C299,2,TRUE)</f>
        <v>0</v>
      </c>
      <c r="J343" s="394">
        <f>VLOOKUP(D343,D296:E299,2,TRUE)</f>
        <v>0</v>
      </c>
      <c r="K343" s="394" t="e">
        <f t="shared" si="69"/>
        <v>#N/A</v>
      </c>
      <c r="L343" s="394" t="e">
        <f t="shared" si="70"/>
        <v>#N/A</v>
      </c>
      <c r="M343" s="394" t="e">
        <f t="shared" si="71"/>
        <v>#N/A</v>
      </c>
      <c r="N343" s="394">
        <f t="shared" si="72"/>
        <v>0</v>
      </c>
      <c r="R343" s="394" t="e">
        <f t="shared" si="73"/>
        <v>#N/A</v>
      </c>
      <c r="S343" s="394">
        <f t="shared" si="74"/>
        <v>0</v>
      </c>
      <c r="T343" s="394">
        <f t="shared" si="75"/>
        <v>0</v>
      </c>
      <c r="U343" s="394" t="e">
        <f>ROUND(VLOOKUP(D343,AT269:AU292,2,TRUE)*B343/VLOOKUP(MONTH(D343),AY283:AZ294,2,TRUE),0)</f>
        <v>#N/A</v>
      </c>
      <c r="V343" s="394" t="e">
        <f t="shared" si="64"/>
        <v>#N/A</v>
      </c>
      <c r="W343" s="394" t="e">
        <f t="shared" si="65"/>
        <v>#N/A</v>
      </c>
      <c r="X343" s="394" t="e">
        <f t="shared" si="76"/>
        <v>#N/A</v>
      </c>
      <c r="Y343" s="394">
        <f t="shared" si="77"/>
        <v>0</v>
      </c>
      <c r="AC343" s="394" t="e">
        <f t="shared" si="78"/>
        <v>#N/A</v>
      </c>
      <c r="AD343" s="394">
        <f t="shared" si="79"/>
        <v>0</v>
      </c>
      <c r="AE343" s="394">
        <f t="shared" si="80"/>
        <v>0</v>
      </c>
      <c r="AG343" s="415">
        <v>40725</v>
      </c>
      <c r="AH343" s="415">
        <f t="shared" si="81"/>
        <v>40725.1</v>
      </c>
      <c r="AI343" s="394">
        <f>VLOOKUP(AH343,E316:AE344,15,TRUE)</f>
        <v>0</v>
      </c>
    </row>
    <row r="344" spans="2:35" ht="12.75">
      <c r="B344" s="393">
        <f t="shared" si="66"/>
        <v>1</v>
      </c>
      <c r="C344" s="393">
        <v>29</v>
      </c>
      <c r="D344" s="393">
        <f>EG311+0.1</f>
        <v>0.1</v>
      </c>
      <c r="E344" s="393">
        <f t="shared" si="67"/>
        <v>0.1</v>
      </c>
      <c r="F344" s="393">
        <v>29</v>
      </c>
      <c r="G344" s="393">
        <f t="shared" si="68"/>
        <v>0</v>
      </c>
      <c r="H344" s="394" t="e">
        <f>ROUND(VLOOKUP(D344,AQ269:AR292,2,TRUE)*B344/VLOOKUP(MONTH(D344),AY283:AZ294,2,TRUE),0)</f>
        <v>#N/A</v>
      </c>
      <c r="I344" s="394">
        <f>VLOOKUP(D344,B296:C299,2,TRUE)</f>
        <v>0</v>
      </c>
      <c r="J344" s="394">
        <f>VLOOKUP(D344,D296:E299,2,TRUE)</f>
        <v>0</v>
      </c>
      <c r="K344" s="394" t="e">
        <f t="shared" si="69"/>
        <v>#N/A</v>
      </c>
      <c r="L344" s="394" t="e">
        <f t="shared" si="70"/>
        <v>#N/A</v>
      </c>
      <c r="M344" s="394" t="e">
        <f t="shared" si="71"/>
        <v>#N/A</v>
      </c>
      <c r="N344" s="394">
        <f t="shared" si="72"/>
        <v>0</v>
      </c>
      <c r="R344" s="394" t="e">
        <f t="shared" si="73"/>
        <v>#N/A</v>
      </c>
      <c r="S344" s="394">
        <f t="shared" si="74"/>
        <v>0</v>
      </c>
      <c r="T344" s="394">
        <f t="shared" si="75"/>
        <v>0</v>
      </c>
      <c r="U344" s="394" t="e">
        <f>ROUND(VLOOKUP(D344,AT269:AU292,2,TRUE)*B344/VLOOKUP(MONTH(D344),AY283:AZ294,2,TRUE),0)</f>
        <v>#N/A</v>
      </c>
      <c r="V344" s="394" t="e">
        <f t="shared" si="64"/>
        <v>#N/A</v>
      </c>
      <c r="W344" s="394" t="e">
        <f t="shared" si="65"/>
        <v>#N/A</v>
      </c>
      <c r="X344" s="394" t="e">
        <f t="shared" si="76"/>
        <v>#N/A</v>
      </c>
      <c r="Y344" s="394">
        <f t="shared" si="77"/>
        <v>0</v>
      </c>
      <c r="AC344" s="394" t="e">
        <f t="shared" si="78"/>
        <v>#N/A</v>
      </c>
      <c r="AD344" s="394">
        <f t="shared" si="79"/>
        <v>0</v>
      </c>
      <c r="AE344" s="394">
        <f t="shared" si="80"/>
        <v>0</v>
      </c>
      <c r="AG344" s="415">
        <v>40756</v>
      </c>
      <c r="AH344" s="415">
        <f t="shared" si="81"/>
        <v>40756.1</v>
      </c>
      <c r="AI344" s="394">
        <f>VLOOKUP(AH344,E316:AE344,15,TRUE)</f>
        <v>0</v>
      </c>
    </row>
    <row r="345" ht="12.75">
      <c r="D345" s="393"/>
    </row>
    <row r="346" spans="4:24" ht="12.75">
      <c r="D346" s="393"/>
      <c r="F346" s="593" t="s">
        <v>516</v>
      </c>
      <c r="G346" s="593"/>
      <c r="H346" s="593"/>
      <c r="I346" s="593"/>
      <c r="J346" s="593"/>
      <c r="K346" s="593"/>
      <c r="L346" s="593"/>
      <c r="M346" s="593"/>
      <c r="P346" s="593" t="s">
        <v>506</v>
      </c>
      <c r="Q346" s="593"/>
      <c r="R346" s="593"/>
      <c r="S346" s="593"/>
      <c r="T346" s="593"/>
      <c r="U346" s="593"/>
      <c r="V346" s="593"/>
      <c r="W346" s="593"/>
      <c r="X346" s="593"/>
    </row>
    <row r="347" spans="4:24" ht="12.75">
      <c r="D347" s="393"/>
      <c r="F347" s="394" t="s">
        <v>81</v>
      </c>
      <c r="G347" s="394" t="s">
        <v>152</v>
      </c>
      <c r="H347" s="394" t="s">
        <v>144</v>
      </c>
      <c r="I347" s="394" t="s">
        <v>509</v>
      </c>
      <c r="J347" s="394" t="s">
        <v>510</v>
      </c>
      <c r="K347" s="394" t="s">
        <v>517</v>
      </c>
      <c r="M347" s="394" t="s">
        <v>518</v>
      </c>
      <c r="N347" s="394" t="s">
        <v>153</v>
      </c>
      <c r="P347" s="394" t="s">
        <v>514</v>
      </c>
      <c r="Q347" s="394" t="s">
        <v>507</v>
      </c>
      <c r="R347" s="394" t="s">
        <v>508</v>
      </c>
      <c r="S347" s="394" t="s">
        <v>515</v>
      </c>
      <c r="W347" s="394" t="s">
        <v>519</v>
      </c>
      <c r="X347" s="394" t="s">
        <v>153</v>
      </c>
    </row>
    <row r="348" spans="2:25" ht="12.75">
      <c r="B348" s="394" t="s">
        <v>520</v>
      </c>
      <c r="C348" s="393">
        <f>IF(D316&lt;40269,D316,0)</f>
        <v>0.1</v>
      </c>
      <c r="D348" s="393">
        <f>IF(G316&lt;40269,G316,0)</f>
        <v>0</v>
      </c>
      <c r="E348" s="476">
        <f>ROUND(IF(C348=0,0,D348-C348+1),0)</f>
        <v>1</v>
      </c>
      <c r="F348" s="394" t="e">
        <f aca="true" t="shared" si="82" ref="F348:F363">IF(C348=0,0,H316)</f>
        <v>#N/A</v>
      </c>
      <c r="G348" s="394" t="e">
        <f aca="true" t="shared" si="83" ref="G348:G363">IF(C348=0,0,K316)</f>
        <v>#N/A</v>
      </c>
      <c r="H348" s="394" t="e">
        <f aca="true" t="shared" si="84" ref="H348:H363">IF(C348=0,0,L316)</f>
        <v>#N/A</v>
      </c>
      <c r="I348" s="394" t="e">
        <f aca="true" t="shared" si="85" ref="I348:I363">IF(C348=0,0,M316)</f>
        <v>#N/A</v>
      </c>
      <c r="J348" s="394" t="e">
        <f>IF(F348=0,0,'[3]WORK SHEET'!E28)</f>
        <v>#N/A</v>
      </c>
      <c r="M348" s="394" t="e">
        <f>SUM(F348:L348)</f>
        <v>#N/A</v>
      </c>
      <c r="N348" s="394">
        <f>IF(DAY(C348)&lt;&gt;1,0,IF(DAY(C349)&lt;&gt;1,M349+M348,M348))</f>
        <v>0</v>
      </c>
      <c r="P348" s="394" t="e">
        <f aca="true" t="shared" si="86" ref="P348:P363">IF(C348=0,0,U316)</f>
        <v>#N/A</v>
      </c>
      <c r="Q348" s="394" t="e">
        <f aca="true" t="shared" si="87" ref="Q348:Q363">IF(P348=0,0,V316)</f>
        <v>#N/A</v>
      </c>
      <c r="R348" s="394" t="e">
        <f aca="true" t="shared" si="88" ref="R348:R363">IF(P348=0,0,W316)</f>
        <v>#N/A</v>
      </c>
      <c r="S348" s="394" t="e">
        <f aca="true" t="shared" si="89" ref="S348:S363">IF(P348=0,0,X316)</f>
        <v>#N/A</v>
      </c>
      <c r="W348" s="394" t="e">
        <f>SUM(P348:V348)</f>
        <v>#N/A</v>
      </c>
      <c r="X348" s="394">
        <f>IF(DAY(C348)&lt;&gt;1,0,IF(DAY(C349)&lt;&gt;1,W349+W348,W348))</f>
        <v>0</v>
      </c>
      <c r="Y348" s="394">
        <f>X348-N348</f>
        <v>0</v>
      </c>
    </row>
    <row r="349" spans="3:25" ht="12.75">
      <c r="C349" s="393">
        <f aca="true" t="shared" si="90" ref="C349:C363">IF(D317&lt;40269,D317,0)</f>
        <v>0.1</v>
      </c>
      <c r="D349" s="393">
        <f aca="true" t="shared" si="91" ref="D349:D363">IF(G317&lt;40269,G317,0)</f>
        <v>0</v>
      </c>
      <c r="E349" s="476">
        <f aca="true" t="shared" si="92" ref="E349:E379">ROUND(IF(C349=0,0,D349-C349+1),0)</f>
        <v>1</v>
      </c>
      <c r="F349" s="394" t="e">
        <f t="shared" si="82"/>
        <v>#N/A</v>
      </c>
      <c r="G349" s="394" t="e">
        <f t="shared" si="83"/>
        <v>#N/A</v>
      </c>
      <c r="H349" s="394" t="e">
        <f t="shared" si="84"/>
        <v>#N/A</v>
      </c>
      <c r="I349" s="394" t="e">
        <f t="shared" si="85"/>
        <v>#N/A</v>
      </c>
      <c r="J349" s="394" t="e">
        <f>IF(F349=0,0,'[3]WORK SHEET'!E28)</f>
        <v>#N/A</v>
      </c>
      <c r="M349" s="394" t="e">
        <f aca="true" t="shared" si="93" ref="M349:M363">SUM(F349:L349)</f>
        <v>#N/A</v>
      </c>
      <c r="N349" s="394">
        <f aca="true" t="shared" si="94" ref="N349:N363">IF(DAY(C349)&lt;&gt;1,0,IF(DAY(C350)&lt;&gt;1,M350+M349,M349))</f>
        <v>0</v>
      </c>
      <c r="P349" s="394" t="e">
        <f t="shared" si="86"/>
        <v>#N/A</v>
      </c>
      <c r="Q349" s="394" t="e">
        <f t="shared" si="87"/>
        <v>#N/A</v>
      </c>
      <c r="R349" s="394" t="e">
        <f t="shared" si="88"/>
        <v>#N/A</v>
      </c>
      <c r="S349" s="394" t="e">
        <f t="shared" si="89"/>
        <v>#N/A</v>
      </c>
      <c r="W349" s="394" t="e">
        <f aca="true" t="shared" si="95" ref="W349:W363">SUM(P349:V349)</f>
        <v>#N/A</v>
      </c>
      <c r="X349" s="394">
        <f aca="true" t="shared" si="96" ref="X349:X363">IF(DAY(C349)&lt;&gt;1,0,IF(DAY(C350)&lt;&gt;1,W350+W349,W349))</f>
        <v>0</v>
      </c>
      <c r="Y349" s="394">
        <f aca="true" t="shared" si="97" ref="Y349:Y362">X349-N349</f>
        <v>0</v>
      </c>
    </row>
    <row r="350" spans="3:25" ht="12.75">
      <c r="C350" s="393">
        <f t="shared" si="90"/>
        <v>0.1</v>
      </c>
      <c r="D350" s="393">
        <f t="shared" si="91"/>
        <v>0</v>
      </c>
      <c r="E350" s="476">
        <f t="shared" si="92"/>
        <v>1</v>
      </c>
      <c r="F350" s="394" t="e">
        <f t="shared" si="82"/>
        <v>#N/A</v>
      </c>
      <c r="G350" s="394" t="e">
        <f t="shared" si="83"/>
        <v>#N/A</v>
      </c>
      <c r="H350" s="394" t="e">
        <f t="shared" si="84"/>
        <v>#N/A</v>
      </c>
      <c r="I350" s="394" t="e">
        <f t="shared" si="85"/>
        <v>#N/A</v>
      </c>
      <c r="J350" s="394" t="e">
        <f>IF(F350=0,0,'[3]WORK SHEET'!E28)</f>
        <v>#N/A</v>
      </c>
      <c r="M350" s="394" t="e">
        <f t="shared" si="93"/>
        <v>#N/A</v>
      </c>
      <c r="N350" s="394">
        <f t="shared" si="94"/>
        <v>0</v>
      </c>
      <c r="P350" s="394" t="e">
        <f t="shared" si="86"/>
        <v>#N/A</v>
      </c>
      <c r="Q350" s="394" t="e">
        <f t="shared" si="87"/>
        <v>#N/A</v>
      </c>
      <c r="R350" s="394" t="e">
        <f t="shared" si="88"/>
        <v>#N/A</v>
      </c>
      <c r="S350" s="394" t="e">
        <f t="shared" si="89"/>
        <v>#N/A</v>
      </c>
      <c r="W350" s="394" t="e">
        <f t="shared" si="95"/>
        <v>#N/A</v>
      </c>
      <c r="X350" s="394">
        <f t="shared" si="96"/>
        <v>0</v>
      </c>
      <c r="Y350" s="394">
        <f t="shared" si="97"/>
        <v>0</v>
      </c>
    </row>
    <row r="351" spans="3:25" ht="12.75">
      <c r="C351" s="393">
        <f t="shared" si="90"/>
        <v>0.1</v>
      </c>
      <c r="D351" s="393">
        <f t="shared" si="91"/>
        <v>0</v>
      </c>
      <c r="E351" s="476">
        <f t="shared" si="92"/>
        <v>1</v>
      </c>
      <c r="F351" s="394" t="e">
        <f t="shared" si="82"/>
        <v>#N/A</v>
      </c>
      <c r="G351" s="394" t="e">
        <f t="shared" si="83"/>
        <v>#N/A</v>
      </c>
      <c r="H351" s="394" t="e">
        <f t="shared" si="84"/>
        <v>#N/A</v>
      </c>
      <c r="I351" s="394" t="e">
        <f t="shared" si="85"/>
        <v>#N/A</v>
      </c>
      <c r="J351" s="394" t="e">
        <f>IF(F351=0,0,'[3]WORK SHEET'!E28)</f>
        <v>#N/A</v>
      </c>
      <c r="M351" s="394" t="e">
        <f t="shared" si="93"/>
        <v>#N/A</v>
      </c>
      <c r="N351" s="394">
        <f t="shared" si="94"/>
        <v>0</v>
      </c>
      <c r="P351" s="394" t="e">
        <f t="shared" si="86"/>
        <v>#N/A</v>
      </c>
      <c r="Q351" s="394" t="e">
        <f t="shared" si="87"/>
        <v>#N/A</v>
      </c>
      <c r="R351" s="394" t="e">
        <f t="shared" si="88"/>
        <v>#N/A</v>
      </c>
      <c r="S351" s="394" t="e">
        <f t="shared" si="89"/>
        <v>#N/A</v>
      </c>
      <c r="W351" s="394" t="e">
        <f t="shared" si="95"/>
        <v>#N/A</v>
      </c>
      <c r="X351" s="394">
        <f t="shared" si="96"/>
        <v>0</v>
      </c>
      <c r="Y351" s="394">
        <f t="shared" si="97"/>
        <v>0</v>
      </c>
    </row>
    <row r="352" spans="3:25" ht="12.75">
      <c r="C352" s="393">
        <f t="shared" si="90"/>
        <v>0.1</v>
      </c>
      <c r="D352" s="393">
        <f t="shared" si="91"/>
        <v>0</v>
      </c>
      <c r="E352" s="476">
        <f t="shared" si="92"/>
        <v>1</v>
      </c>
      <c r="F352" s="394" t="e">
        <f t="shared" si="82"/>
        <v>#N/A</v>
      </c>
      <c r="G352" s="394" t="e">
        <f t="shared" si="83"/>
        <v>#N/A</v>
      </c>
      <c r="H352" s="394" t="e">
        <f t="shared" si="84"/>
        <v>#N/A</v>
      </c>
      <c r="I352" s="394" t="e">
        <f t="shared" si="85"/>
        <v>#N/A</v>
      </c>
      <c r="J352" s="394" t="e">
        <f>IF(F352=0,0,'[3]WORK SHEET'!E28)</f>
        <v>#N/A</v>
      </c>
      <c r="M352" s="394" t="e">
        <f t="shared" si="93"/>
        <v>#N/A</v>
      </c>
      <c r="N352" s="394">
        <f t="shared" si="94"/>
        <v>0</v>
      </c>
      <c r="P352" s="394" t="e">
        <f t="shared" si="86"/>
        <v>#N/A</v>
      </c>
      <c r="Q352" s="394" t="e">
        <f t="shared" si="87"/>
        <v>#N/A</v>
      </c>
      <c r="R352" s="394" t="e">
        <f t="shared" si="88"/>
        <v>#N/A</v>
      </c>
      <c r="S352" s="394" t="e">
        <f t="shared" si="89"/>
        <v>#N/A</v>
      </c>
      <c r="W352" s="394" t="e">
        <f t="shared" si="95"/>
        <v>#N/A</v>
      </c>
      <c r="X352" s="394">
        <f t="shared" si="96"/>
        <v>0</v>
      </c>
      <c r="Y352" s="394">
        <f t="shared" si="97"/>
        <v>0</v>
      </c>
    </row>
    <row r="353" spans="3:25" ht="12.75">
      <c r="C353" s="393">
        <f t="shared" si="90"/>
        <v>0.1</v>
      </c>
      <c r="D353" s="393">
        <f t="shared" si="91"/>
        <v>0</v>
      </c>
      <c r="E353" s="476">
        <f t="shared" si="92"/>
        <v>1</v>
      </c>
      <c r="F353" s="394" t="e">
        <f t="shared" si="82"/>
        <v>#N/A</v>
      </c>
      <c r="G353" s="394" t="e">
        <f t="shared" si="83"/>
        <v>#N/A</v>
      </c>
      <c r="H353" s="394" t="e">
        <f t="shared" si="84"/>
        <v>#N/A</v>
      </c>
      <c r="I353" s="394" t="e">
        <f t="shared" si="85"/>
        <v>#N/A</v>
      </c>
      <c r="J353" s="394" t="e">
        <f>IF(F353=0,0,'[3]WORK SHEET'!E28)</f>
        <v>#N/A</v>
      </c>
      <c r="M353" s="394" t="e">
        <f t="shared" si="93"/>
        <v>#N/A</v>
      </c>
      <c r="N353" s="394">
        <f t="shared" si="94"/>
        <v>0</v>
      </c>
      <c r="P353" s="394" t="e">
        <f t="shared" si="86"/>
        <v>#N/A</v>
      </c>
      <c r="Q353" s="394" t="e">
        <f t="shared" si="87"/>
        <v>#N/A</v>
      </c>
      <c r="R353" s="394" t="e">
        <f t="shared" si="88"/>
        <v>#N/A</v>
      </c>
      <c r="S353" s="394" t="e">
        <f t="shared" si="89"/>
        <v>#N/A</v>
      </c>
      <c r="W353" s="394" t="e">
        <f t="shared" si="95"/>
        <v>#N/A</v>
      </c>
      <c r="X353" s="394">
        <f t="shared" si="96"/>
        <v>0</v>
      </c>
      <c r="Y353" s="394">
        <f t="shared" si="97"/>
        <v>0</v>
      </c>
    </row>
    <row r="354" spans="3:25" ht="12.75">
      <c r="C354" s="393">
        <f t="shared" si="90"/>
        <v>0.1</v>
      </c>
      <c r="D354" s="393">
        <f t="shared" si="91"/>
        <v>0</v>
      </c>
      <c r="E354" s="476">
        <f t="shared" si="92"/>
        <v>1</v>
      </c>
      <c r="F354" s="394" t="e">
        <f t="shared" si="82"/>
        <v>#N/A</v>
      </c>
      <c r="G354" s="394" t="e">
        <f t="shared" si="83"/>
        <v>#N/A</v>
      </c>
      <c r="H354" s="394" t="e">
        <f t="shared" si="84"/>
        <v>#N/A</v>
      </c>
      <c r="I354" s="394" t="e">
        <f t="shared" si="85"/>
        <v>#N/A</v>
      </c>
      <c r="J354" s="394" t="e">
        <f>IF(F354=0,0,'[3]WORK SHEET'!E28)</f>
        <v>#N/A</v>
      </c>
      <c r="M354" s="394" t="e">
        <f t="shared" si="93"/>
        <v>#N/A</v>
      </c>
      <c r="N354" s="394">
        <f t="shared" si="94"/>
        <v>0</v>
      </c>
      <c r="P354" s="394" t="e">
        <f t="shared" si="86"/>
        <v>#N/A</v>
      </c>
      <c r="Q354" s="394" t="e">
        <f t="shared" si="87"/>
        <v>#N/A</v>
      </c>
      <c r="R354" s="394" t="e">
        <f t="shared" si="88"/>
        <v>#N/A</v>
      </c>
      <c r="S354" s="394" t="e">
        <f t="shared" si="89"/>
        <v>#N/A</v>
      </c>
      <c r="W354" s="394" t="e">
        <f t="shared" si="95"/>
        <v>#N/A</v>
      </c>
      <c r="X354" s="394">
        <f t="shared" si="96"/>
        <v>0</v>
      </c>
      <c r="Y354" s="394">
        <f t="shared" si="97"/>
        <v>0</v>
      </c>
    </row>
    <row r="355" spans="3:25" ht="12.75">
      <c r="C355" s="393">
        <f t="shared" si="90"/>
        <v>0.1</v>
      </c>
      <c r="D355" s="393">
        <f t="shared" si="91"/>
        <v>0</v>
      </c>
      <c r="E355" s="476">
        <f t="shared" si="92"/>
        <v>1</v>
      </c>
      <c r="F355" s="394" t="e">
        <f t="shared" si="82"/>
        <v>#N/A</v>
      </c>
      <c r="G355" s="394" t="e">
        <f t="shared" si="83"/>
        <v>#N/A</v>
      </c>
      <c r="H355" s="394" t="e">
        <f t="shared" si="84"/>
        <v>#N/A</v>
      </c>
      <c r="I355" s="394" t="e">
        <f t="shared" si="85"/>
        <v>#N/A</v>
      </c>
      <c r="J355" s="394" t="e">
        <f>IF(F355=0,0,'[3]WORK SHEET'!E28)</f>
        <v>#N/A</v>
      </c>
      <c r="M355" s="394" t="e">
        <f t="shared" si="93"/>
        <v>#N/A</v>
      </c>
      <c r="N355" s="394">
        <f t="shared" si="94"/>
        <v>0</v>
      </c>
      <c r="P355" s="394" t="e">
        <f t="shared" si="86"/>
        <v>#N/A</v>
      </c>
      <c r="Q355" s="394" t="e">
        <f t="shared" si="87"/>
        <v>#N/A</v>
      </c>
      <c r="R355" s="394" t="e">
        <f t="shared" si="88"/>
        <v>#N/A</v>
      </c>
      <c r="S355" s="394" t="e">
        <f t="shared" si="89"/>
        <v>#N/A</v>
      </c>
      <c r="W355" s="394" t="e">
        <f t="shared" si="95"/>
        <v>#N/A</v>
      </c>
      <c r="X355" s="394">
        <f t="shared" si="96"/>
        <v>0</v>
      </c>
      <c r="Y355" s="394">
        <f t="shared" si="97"/>
        <v>0</v>
      </c>
    </row>
    <row r="356" spans="3:25" ht="12.75">
      <c r="C356" s="393">
        <f t="shared" si="90"/>
        <v>0.1</v>
      </c>
      <c r="D356" s="393">
        <f t="shared" si="91"/>
        <v>0</v>
      </c>
      <c r="E356" s="476">
        <f t="shared" si="92"/>
        <v>1</v>
      </c>
      <c r="F356" s="394" t="e">
        <f t="shared" si="82"/>
        <v>#N/A</v>
      </c>
      <c r="G356" s="394" t="e">
        <f t="shared" si="83"/>
        <v>#N/A</v>
      </c>
      <c r="H356" s="394" t="e">
        <f t="shared" si="84"/>
        <v>#N/A</v>
      </c>
      <c r="I356" s="394" t="e">
        <f t="shared" si="85"/>
        <v>#N/A</v>
      </c>
      <c r="J356" s="394" t="e">
        <f>IF(F356=0,0,'[3]WORK SHEET'!E28)</f>
        <v>#N/A</v>
      </c>
      <c r="M356" s="394" t="e">
        <f t="shared" si="93"/>
        <v>#N/A</v>
      </c>
      <c r="N356" s="394">
        <f t="shared" si="94"/>
        <v>0</v>
      </c>
      <c r="P356" s="394" t="e">
        <f t="shared" si="86"/>
        <v>#N/A</v>
      </c>
      <c r="Q356" s="394" t="e">
        <f t="shared" si="87"/>
        <v>#N/A</v>
      </c>
      <c r="R356" s="394" t="e">
        <f t="shared" si="88"/>
        <v>#N/A</v>
      </c>
      <c r="S356" s="394" t="e">
        <f t="shared" si="89"/>
        <v>#N/A</v>
      </c>
      <c r="W356" s="394" t="e">
        <f t="shared" si="95"/>
        <v>#N/A</v>
      </c>
      <c r="X356" s="394">
        <f t="shared" si="96"/>
        <v>0</v>
      </c>
      <c r="Y356" s="394">
        <f t="shared" si="97"/>
        <v>0</v>
      </c>
    </row>
    <row r="357" spans="3:25" ht="12.75">
      <c r="C357" s="393">
        <f t="shared" si="90"/>
        <v>0.1</v>
      </c>
      <c r="D357" s="393">
        <f t="shared" si="91"/>
        <v>0</v>
      </c>
      <c r="E357" s="476">
        <f t="shared" si="92"/>
        <v>1</v>
      </c>
      <c r="F357" s="394" t="e">
        <f t="shared" si="82"/>
        <v>#N/A</v>
      </c>
      <c r="G357" s="394" t="e">
        <f t="shared" si="83"/>
        <v>#N/A</v>
      </c>
      <c r="H357" s="394" t="e">
        <f t="shared" si="84"/>
        <v>#N/A</v>
      </c>
      <c r="I357" s="394" t="e">
        <f t="shared" si="85"/>
        <v>#N/A</v>
      </c>
      <c r="J357" s="394" t="e">
        <f>IF(F357=0,0,'[3]WORK SHEET'!E28)</f>
        <v>#N/A</v>
      </c>
      <c r="M357" s="394" t="e">
        <f t="shared" si="93"/>
        <v>#N/A</v>
      </c>
      <c r="N357" s="394">
        <f t="shared" si="94"/>
        <v>0</v>
      </c>
      <c r="P357" s="394" t="e">
        <f t="shared" si="86"/>
        <v>#N/A</v>
      </c>
      <c r="Q357" s="394" t="e">
        <f t="shared" si="87"/>
        <v>#N/A</v>
      </c>
      <c r="R357" s="394" t="e">
        <f t="shared" si="88"/>
        <v>#N/A</v>
      </c>
      <c r="S357" s="394" t="e">
        <f t="shared" si="89"/>
        <v>#N/A</v>
      </c>
      <c r="W357" s="394" t="e">
        <f t="shared" si="95"/>
        <v>#N/A</v>
      </c>
      <c r="X357" s="394">
        <f t="shared" si="96"/>
        <v>0</v>
      </c>
      <c r="Y357" s="394">
        <f t="shared" si="97"/>
        <v>0</v>
      </c>
    </row>
    <row r="358" spans="3:25" ht="12.75">
      <c r="C358" s="393">
        <f t="shared" si="90"/>
        <v>0.1</v>
      </c>
      <c r="D358" s="393">
        <f t="shared" si="91"/>
        <v>0</v>
      </c>
      <c r="E358" s="476">
        <f t="shared" si="92"/>
        <v>1</v>
      </c>
      <c r="F358" s="394" t="e">
        <f t="shared" si="82"/>
        <v>#N/A</v>
      </c>
      <c r="G358" s="394" t="e">
        <f t="shared" si="83"/>
        <v>#N/A</v>
      </c>
      <c r="H358" s="394" t="e">
        <f t="shared" si="84"/>
        <v>#N/A</v>
      </c>
      <c r="I358" s="394" t="e">
        <f t="shared" si="85"/>
        <v>#N/A</v>
      </c>
      <c r="J358" s="394" t="e">
        <f>IF(F358=0,0,'[3]WORK SHEET'!E28)</f>
        <v>#N/A</v>
      </c>
      <c r="M358" s="394" t="e">
        <f t="shared" si="93"/>
        <v>#N/A</v>
      </c>
      <c r="N358" s="394">
        <f t="shared" si="94"/>
        <v>0</v>
      </c>
      <c r="P358" s="394" t="e">
        <f t="shared" si="86"/>
        <v>#N/A</v>
      </c>
      <c r="Q358" s="394" t="e">
        <f t="shared" si="87"/>
        <v>#N/A</v>
      </c>
      <c r="R358" s="394" t="e">
        <f t="shared" si="88"/>
        <v>#N/A</v>
      </c>
      <c r="S358" s="394" t="e">
        <f t="shared" si="89"/>
        <v>#N/A</v>
      </c>
      <c r="W358" s="394" t="e">
        <f t="shared" si="95"/>
        <v>#N/A</v>
      </c>
      <c r="X358" s="394">
        <f t="shared" si="96"/>
        <v>0</v>
      </c>
      <c r="Y358" s="394">
        <f t="shared" si="97"/>
        <v>0</v>
      </c>
    </row>
    <row r="359" spans="3:25" ht="12.75">
      <c r="C359" s="393">
        <f t="shared" si="90"/>
        <v>0.1</v>
      </c>
      <c r="D359" s="393">
        <f t="shared" si="91"/>
        <v>0</v>
      </c>
      <c r="E359" s="476">
        <f t="shared" si="92"/>
        <v>1</v>
      </c>
      <c r="F359" s="394" t="e">
        <f t="shared" si="82"/>
        <v>#N/A</v>
      </c>
      <c r="G359" s="394" t="e">
        <f t="shared" si="83"/>
        <v>#N/A</v>
      </c>
      <c r="H359" s="394" t="e">
        <f t="shared" si="84"/>
        <v>#N/A</v>
      </c>
      <c r="I359" s="394" t="e">
        <f t="shared" si="85"/>
        <v>#N/A</v>
      </c>
      <c r="J359" s="394" t="e">
        <f>IF(F359=0,0,'[3]WORK SHEET'!E28)</f>
        <v>#N/A</v>
      </c>
      <c r="M359" s="394" t="e">
        <f t="shared" si="93"/>
        <v>#N/A</v>
      </c>
      <c r="N359" s="394">
        <f t="shared" si="94"/>
        <v>0</v>
      </c>
      <c r="P359" s="394" t="e">
        <f t="shared" si="86"/>
        <v>#N/A</v>
      </c>
      <c r="Q359" s="394" t="e">
        <f t="shared" si="87"/>
        <v>#N/A</v>
      </c>
      <c r="R359" s="394" t="e">
        <f t="shared" si="88"/>
        <v>#N/A</v>
      </c>
      <c r="S359" s="394" t="e">
        <f t="shared" si="89"/>
        <v>#N/A</v>
      </c>
      <c r="W359" s="394" t="e">
        <f t="shared" si="95"/>
        <v>#N/A</v>
      </c>
      <c r="X359" s="394">
        <f t="shared" si="96"/>
        <v>0</v>
      </c>
      <c r="Y359" s="394">
        <f t="shared" si="97"/>
        <v>0</v>
      </c>
    </row>
    <row r="360" spans="3:25" ht="12.75">
      <c r="C360" s="393">
        <f t="shared" si="90"/>
        <v>0.1</v>
      </c>
      <c r="D360" s="393">
        <f t="shared" si="91"/>
        <v>0</v>
      </c>
      <c r="E360" s="476">
        <f t="shared" si="92"/>
        <v>1</v>
      </c>
      <c r="F360" s="394" t="e">
        <f t="shared" si="82"/>
        <v>#N/A</v>
      </c>
      <c r="G360" s="394" t="e">
        <f t="shared" si="83"/>
        <v>#N/A</v>
      </c>
      <c r="H360" s="394" t="e">
        <f t="shared" si="84"/>
        <v>#N/A</v>
      </c>
      <c r="I360" s="394" t="e">
        <f t="shared" si="85"/>
        <v>#N/A</v>
      </c>
      <c r="J360" s="394" t="e">
        <f>IF(F360=0,0,'[3]WORK SHEET'!E28)</f>
        <v>#N/A</v>
      </c>
      <c r="M360" s="394" t="e">
        <f t="shared" si="93"/>
        <v>#N/A</v>
      </c>
      <c r="N360" s="394">
        <f t="shared" si="94"/>
        <v>0</v>
      </c>
      <c r="P360" s="394" t="e">
        <f t="shared" si="86"/>
        <v>#N/A</v>
      </c>
      <c r="Q360" s="394" t="e">
        <f t="shared" si="87"/>
        <v>#N/A</v>
      </c>
      <c r="R360" s="394" t="e">
        <f t="shared" si="88"/>
        <v>#N/A</v>
      </c>
      <c r="S360" s="394" t="e">
        <f t="shared" si="89"/>
        <v>#N/A</v>
      </c>
      <c r="W360" s="394" t="e">
        <f t="shared" si="95"/>
        <v>#N/A</v>
      </c>
      <c r="X360" s="394">
        <f t="shared" si="96"/>
        <v>0</v>
      </c>
      <c r="Y360" s="394">
        <f t="shared" si="97"/>
        <v>0</v>
      </c>
    </row>
    <row r="361" spans="3:25" ht="12.75">
      <c r="C361" s="393">
        <f t="shared" si="90"/>
        <v>0.1</v>
      </c>
      <c r="D361" s="393">
        <f t="shared" si="91"/>
        <v>0</v>
      </c>
      <c r="E361" s="476">
        <f t="shared" si="92"/>
        <v>1</v>
      </c>
      <c r="F361" s="394" t="e">
        <f t="shared" si="82"/>
        <v>#N/A</v>
      </c>
      <c r="G361" s="394" t="e">
        <f t="shared" si="83"/>
        <v>#N/A</v>
      </c>
      <c r="H361" s="394" t="e">
        <f t="shared" si="84"/>
        <v>#N/A</v>
      </c>
      <c r="I361" s="394" t="e">
        <f t="shared" si="85"/>
        <v>#N/A</v>
      </c>
      <c r="J361" s="394" t="e">
        <f>IF(F361=0,0,'[3]WORK SHEET'!E28)</f>
        <v>#N/A</v>
      </c>
      <c r="M361" s="394" t="e">
        <f t="shared" si="93"/>
        <v>#N/A</v>
      </c>
      <c r="N361" s="394">
        <f t="shared" si="94"/>
        <v>0</v>
      </c>
      <c r="P361" s="394" t="e">
        <f t="shared" si="86"/>
        <v>#N/A</v>
      </c>
      <c r="Q361" s="394" t="e">
        <f t="shared" si="87"/>
        <v>#N/A</v>
      </c>
      <c r="R361" s="394" t="e">
        <f t="shared" si="88"/>
        <v>#N/A</v>
      </c>
      <c r="S361" s="394" t="e">
        <f t="shared" si="89"/>
        <v>#N/A</v>
      </c>
      <c r="W361" s="394" t="e">
        <f t="shared" si="95"/>
        <v>#N/A</v>
      </c>
      <c r="X361" s="394">
        <f t="shared" si="96"/>
        <v>0</v>
      </c>
      <c r="Y361" s="394">
        <f t="shared" si="97"/>
        <v>0</v>
      </c>
    </row>
    <row r="362" spans="3:25" ht="12.75">
      <c r="C362" s="393">
        <f t="shared" si="90"/>
        <v>0.1</v>
      </c>
      <c r="D362" s="393">
        <f t="shared" si="91"/>
        <v>0</v>
      </c>
      <c r="E362" s="476">
        <f t="shared" si="92"/>
        <v>1</v>
      </c>
      <c r="F362" s="394" t="e">
        <f t="shared" si="82"/>
        <v>#N/A</v>
      </c>
      <c r="G362" s="394" t="e">
        <f t="shared" si="83"/>
        <v>#N/A</v>
      </c>
      <c r="H362" s="394" t="e">
        <f t="shared" si="84"/>
        <v>#N/A</v>
      </c>
      <c r="I362" s="394" t="e">
        <f t="shared" si="85"/>
        <v>#N/A</v>
      </c>
      <c r="J362" s="394" t="e">
        <f>IF(F362=0,0,'[3]WORK SHEET'!E28)</f>
        <v>#N/A</v>
      </c>
      <c r="M362" s="394" t="e">
        <f t="shared" si="93"/>
        <v>#N/A</v>
      </c>
      <c r="N362" s="394">
        <f t="shared" si="94"/>
        <v>0</v>
      </c>
      <c r="P362" s="394" t="e">
        <f t="shared" si="86"/>
        <v>#N/A</v>
      </c>
      <c r="Q362" s="394" t="e">
        <f t="shared" si="87"/>
        <v>#N/A</v>
      </c>
      <c r="R362" s="394" t="e">
        <f t="shared" si="88"/>
        <v>#N/A</v>
      </c>
      <c r="S362" s="394" t="e">
        <f t="shared" si="89"/>
        <v>#N/A</v>
      </c>
      <c r="W362" s="394" t="e">
        <f t="shared" si="95"/>
        <v>#N/A</v>
      </c>
      <c r="X362" s="394">
        <f t="shared" si="96"/>
        <v>0</v>
      </c>
      <c r="Y362" s="394">
        <f t="shared" si="97"/>
        <v>0</v>
      </c>
    </row>
    <row r="363" spans="3:25" ht="12.75">
      <c r="C363" s="393">
        <f t="shared" si="90"/>
        <v>0.1</v>
      </c>
      <c r="D363" s="393">
        <f t="shared" si="91"/>
        <v>0</v>
      </c>
      <c r="E363" s="476">
        <f t="shared" si="92"/>
        <v>1</v>
      </c>
      <c r="F363" s="394" t="e">
        <f t="shared" si="82"/>
        <v>#N/A</v>
      </c>
      <c r="G363" s="394" t="e">
        <f t="shared" si="83"/>
        <v>#N/A</v>
      </c>
      <c r="H363" s="394" t="e">
        <f t="shared" si="84"/>
        <v>#N/A</v>
      </c>
      <c r="I363" s="394" t="e">
        <f t="shared" si="85"/>
        <v>#N/A</v>
      </c>
      <c r="J363" s="394" t="e">
        <f>IF(F363=0,0,'[3]WORK SHEET'!E28)</f>
        <v>#N/A</v>
      </c>
      <c r="M363" s="394" t="e">
        <f t="shared" si="93"/>
        <v>#N/A</v>
      </c>
      <c r="N363" s="394">
        <f t="shared" si="94"/>
        <v>0</v>
      </c>
      <c r="P363" s="394" t="e">
        <f t="shared" si="86"/>
        <v>#N/A</v>
      </c>
      <c r="Q363" s="394" t="e">
        <f t="shared" si="87"/>
        <v>#N/A</v>
      </c>
      <c r="R363" s="394" t="e">
        <f t="shared" si="88"/>
        <v>#N/A</v>
      </c>
      <c r="S363" s="394" t="e">
        <f t="shared" si="89"/>
        <v>#N/A</v>
      </c>
      <c r="W363" s="394" t="e">
        <f t="shared" si="95"/>
        <v>#N/A</v>
      </c>
      <c r="X363" s="394">
        <f t="shared" si="96"/>
        <v>0</v>
      </c>
      <c r="Y363" s="394">
        <f>X363-N363</f>
        <v>0</v>
      </c>
    </row>
    <row r="364" ht="12.75">
      <c r="E364" s="476">
        <f t="shared" si="92"/>
        <v>0</v>
      </c>
    </row>
    <row r="365" ht="12.75">
      <c r="E365" s="476">
        <f t="shared" si="92"/>
        <v>0</v>
      </c>
    </row>
    <row r="366" spans="1:25" ht="12.75">
      <c r="A366" s="394">
        <f>VLOOKUP(40269+0.1,D316:F344,3,TRUE)</f>
        <v>29</v>
      </c>
      <c r="B366" s="394" t="s">
        <v>521</v>
      </c>
      <c r="C366" s="393">
        <f>40269.1</f>
        <v>40269.1</v>
      </c>
      <c r="D366" s="393">
        <f aca="true" t="shared" si="98" ref="D366:D379">VLOOKUP(A366,C316:G344,5,TRUE)</f>
        <v>0</v>
      </c>
      <c r="E366" s="476">
        <f t="shared" si="92"/>
        <v>-40268</v>
      </c>
      <c r="F366" s="394" t="e">
        <f>VLOOKUP(A366,F316:H344,3,TRUE)</f>
        <v>#N/A</v>
      </c>
      <c r="G366" s="394" t="e">
        <f>VLOOKUP(A366,F316:AD344,6,TRUE)</f>
        <v>#N/A</v>
      </c>
      <c r="H366" s="394" t="e">
        <f>VLOOKUP(A366,F316:AD344,7,TRUE)</f>
        <v>#N/A</v>
      </c>
      <c r="I366" s="394" t="e">
        <f>VLOOKUP(A366,F316:AD344,8,TRUE)</f>
        <v>#N/A</v>
      </c>
      <c r="J366" s="394" t="e">
        <f>IF(F366=0,0,'[3]WORK SHEET'!E28)</f>
        <v>#N/A</v>
      </c>
      <c r="K366" s="394" t="e">
        <f aca="true" t="shared" si="99" ref="K366:K379">IF(ROUND(F366*10%,0)&lt;650,ROUND(F366*10%,0),650)</f>
        <v>#N/A</v>
      </c>
      <c r="M366" s="394" t="e">
        <f aca="true" t="shared" si="100" ref="M366:M379">SUM(F366:L366)</f>
        <v>#N/A</v>
      </c>
      <c r="N366" s="394" t="e">
        <f aca="true" t="shared" si="101" ref="N366:N379">IF(DAY(C366)&lt;&gt;1,0,IF(DAY(C367)&lt;&gt;1,M367+M366,M366))</f>
        <v>#N/A</v>
      </c>
      <c r="P366" s="394" t="e">
        <f>VLOOKUP(A366,F316:AD344,16,TRUE)</f>
        <v>#N/A</v>
      </c>
      <c r="Q366" s="394" t="e">
        <f>VLOOKUP(A366,F316:AD344,17,TRUE)</f>
        <v>#N/A</v>
      </c>
      <c r="R366" s="394" t="e">
        <f>VLOOKUP(A366,F316:AD344,18,TRUE)</f>
        <v>#N/A</v>
      </c>
      <c r="S366" s="394" t="e">
        <f>VLOOKUP(A366,F316:AD344,19,TRUE)</f>
        <v>#N/A</v>
      </c>
      <c r="T366" s="394" t="e">
        <f aca="true" t="shared" si="102" ref="T366:T379">IF(ROUND(P366*10%,0)&lt;650,ROUND(P366*10%,0),650)</f>
        <v>#N/A</v>
      </c>
      <c r="W366" s="394" t="e">
        <f aca="true" t="shared" si="103" ref="W366:W378">SUM(P366:V366)</f>
        <v>#N/A</v>
      </c>
      <c r="X366" s="394" t="e">
        <f aca="true" t="shared" si="104" ref="X366:X378">IF(DAY(C366)&lt;&gt;1,0,IF(DAY(C367)&lt;&gt;1,W367+W366,W366))</f>
        <v>#N/A</v>
      </c>
      <c r="Y366" s="394" t="e">
        <f aca="true" t="shared" si="105" ref="Y366:Y378">X366-N366</f>
        <v>#N/A</v>
      </c>
    </row>
    <row r="367" spans="1:25" ht="12.75">
      <c r="A367" s="394">
        <f>A366+1</f>
        <v>30</v>
      </c>
      <c r="C367" s="476">
        <f>IF(D367=0,0,D366+1)</f>
        <v>0</v>
      </c>
      <c r="D367" s="393">
        <f>VLOOKUP(A367,C317:G345,5,TRUE)</f>
        <v>0</v>
      </c>
      <c r="E367" s="476">
        <f t="shared" si="92"/>
        <v>0</v>
      </c>
      <c r="F367" s="394" t="e">
        <f>VLOOKUP(A367,F316:H344,3,TRUE)</f>
        <v>#N/A</v>
      </c>
      <c r="G367" s="394" t="e">
        <f>VLOOKUP(A367,F316:AD344,6,TRUE)</f>
        <v>#N/A</v>
      </c>
      <c r="H367" s="394" t="e">
        <f>VLOOKUP(A367,F316:AD344,7,TRUE)</f>
        <v>#N/A</v>
      </c>
      <c r="I367" s="394" t="e">
        <f>VLOOKUP(A367,F316:AD344,8,TRUE)</f>
        <v>#N/A</v>
      </c>
      <c r="J367" s="394" t="e">
        <f>IF(F367=0,0,'[3]WORK SHEET'!E28)</f>
        <v>#N/A</v>
      </c>
      <c r="K367" s="394" t="e">
        <f t="shared" si="99"/>
        <v>#N/A</v>
      </c>
      <c r="M367" s="394" t="e">
        <f t="shared" si="100"/>
        <v>#N/A</v>
      </c>
      <c r="N367" s="394">
        <f t="shared" si="101"/>
        <v>0</v>
      </c>
      <c r="P367" s="394" t="e">
        <f>VLOOKUP(A367,F316:AD344,16,TRUE)</f>
        <v>#N/A</v>
      </c>
      <c r="Q367" s="394" t="e">
        <f>VLOOKUP(A367,F316:AD344,17,TRUE)</f>
        <v>#N/A</v>
      </c>
      <c r="R367" s="394" t="e">
        <f>VLOOKUP(A367,F316:AD344,18,TRUE)</f>
        <v>#N/A</v>
      </c>
      <c r="S367" s="394" t="e">
        <f>VLOOKUP(A367,F316:AD344,19,TRUE)</f>
        <v>#N/A</v>
      </c>
      <c r="T367" s="394" t="e">
        <f t="shared" si="102"/>
        <v>#N/A</v>
      </c>
      <c r="W367" s="394" t="e">
        <f t="shared" si="103"/>
        <v>#N/A</v>
      </c>
      <c r="X367" s="394">
        <f t="shared" si="104"/>
        <v>0</v>
      </c>
      <c r="Y367" s="394">
        <f t="shared" si="105"/>
        <v>0</v>
      </c>
    </row>
    <row r="368" spans="1:25" ht="12.75">
      <c r="A368" s="394">
        <f aca="true" t="shared" si="106" ref="A368:A379">A367+1</f>
        <v>31</v>
      </c>
      <c r="C368" s="393">
        <f aca="true" t="shared" si="107" ref="C368:C379">IF(D368=0,0,D367+1)</f>
        <v>0</v>
      </c>
      <c r="D368" s="393">
        <f>VLOOKUP(A368,C318:G346,5,TRUE)</f>
        <v>0</v>
      </c>
      <c r="E368" s="476">
        <f t="shared" si="92"/>
        <v>0</v>
      </c>
      <c r="F368" s="394" t="e">
        <f>VLOOKUP(A368,F316:H344,3,TRUE)</f>
        <v>#N/A</v>
      </c>
      <c r="G368" s="394" t="e">
        <f>VLOOKUP(A368,F316:AD344,6,TRUE)</f>
        <v>#N/A</v>
      </c>
      <c r="H368" s="394" t="e">
        <f>VLOOKUP(A368,F316:AD344,7,TRUE)</f>
        <v>#N/A</v>
      </c>
      <c r="I368" s="394" t="e">
        <f>VLOOKUP(A368,F316:AD344,8,TRUE)</f>
        <v>#N/A</v>
      </c>
      <c r="J368" s="394" t="e">
        <f>IF(F368=0,0,'[3]WORK SHEET'!E28)</f>
        <v>#N/A</v>
      </c>
      <c r="K368" s="394" t="e">
        <f t="shared" si="99"/>
        <v>#N/A</v>
      </c>
      <c r="M368" s="394" t="e">
        <f t="shared" si="100"/>
        <v>#N/A</v>
      </c>
      <c r="N368" s="394">
        <f t="shared" si="101"/>
        <v>0</v>
      </c>
      <c r="P368" s="394" t="e">
        <f>VLOOKUP(A368,F316:AD344,16,TRUE)</f>
        <v>#N/A</v>
      </c>
      <c r="Q368" s="394" t="e">
        <f>VLOOKUP(A368,F316:AD344,17,TRUE)</f>
        <v>#N/A</v>
      </c>
      <c r="R368" s="394" t="e">
        <f>VLOOKUP(A368,F316:AD344,18,TRUE)</f>
        <v>#N/A</v>
      </c>
      <c r="S368" s="394" t="e">
        <f>VLOOKUP(A368,F316:AD344,19,TRUE)</f>
        <v>#N/A</v>
      </c>
      <c r="T368" s="394" t="e">
        <f t="shared" si="102"/>
        <v>#N/A</v>
      </c>
      <c r="W368" s="394" t="e">
        <f t="shared" si="103"/>
        <v>#N/A</v>
      </c>
      <c r="X368" s="394">
        <f t="shared" si="104"/>
        <v>0</v>
      </c>
      <c r="Y368" s="394">
        <f t="shared" si="105"/>
        <v>0</v>
      </c>
    </row>
    <row r="369" spans="1:25" ht="12.75">
      <c r="A369" s="394">
        <f t="shared" si="106"/>
        <v>32</v>
      </c>
      <c r="C369" s="393">
        <f t="shared" si="107"/>
        <v>0</v>
      </c>
      <c r="D369" s="393">
        <f t="shared" si="98"/>
        <v>0</v>
      </c>
      <c r="E369" s="476">
        <f t="shared" si="92"/>
        <v>0</v>
      </c>
      <c r="F369" s="394" t="e">
        <f>VLOOKUP(A369,F316:H344,3,TRUE)</f>
        <v>#N/A</v>
      </c>
      <c r="G369" s="394" t="e">
        <f>VLOOKUP(A369,F316:AD344,6,TRUE)</f>
        <v>#N/A</v>
      </c>
      <c r="H369" s="394" t="e">
        <f>VLOOKUP(A369,F316:AD344,7,TRUE)</f>
        <v>#N/A</v>
      </c>
      <c r="I369" s="394" t="e">
        <f>VLOOKUP(A369,F316:AD344,8,TRUE)</f>
        <v>#N/A</v>
      </c>
      <c r="J369" s="394" t="e">
        <f>IF(F369=0,0,'[3]WORK SHEET'!E28)</f>
        <v>#N/A</v>
      </c>
      <c r="K369" s="394" t="e">
        <f t="shared" si="99"/>
        <v>#N/A</v>
      </c>
      <c r="M369" s="394" t="e">
        <f t="shared" si="100"/>
        <v>#N/A</v>
      </c>
      <c r="N369" s="394">
        <f t="shared" si="101"/>
        <v>0</v>
      </c>
      <c r="P369" s="394" t="e">
        <f>VLOOKUP(A369,F316:AD344,16,TRUE)</f>
        <v>#N/A</v>
      </c>
      <c r="Q369" s="394" t="e">
        <f>VLOOKUP(A369,F316:AD344,17,TRUE)</f>
        <v>#N/A</v>
      </c>
      <c r="R369" s="394" t="e">
        <f>VLOOKUP(A369,F316:AD344,18,TRUE)</f>
        <v>#N/A</v>
      </c>
      <c r="S369" s="394" t="e">
        <f>VLOOKUP(A369,F316:AD344,19,TRUE)</f>
        <v>#N/A</v>
      </c>
      <c r="T369" s="394" t="e">
        <f t="shared" si="102"/>
        <v>#N/A</v>
      </c>
      <c r="W369" s="394" t="e">
        <f t="shared" si="103"/>
        <v>#N/A</v>
      </c>
      <c r="X369" s="394">
        <f t="shared" si="104"/>
        <v>0</v>
      </c>
      <c r="Y369" s="394">
        <f t="shared" si="105"/>
        <v>0</v>
      </c>
    </row>
    <row r="370" spans="1:25" ht="12.75">
      <c r="A370" s="394">
        <f t="shared" si="106"/>
        <v>33</v>
      </c>
      <c r="C370" s="393" t="e">
        <f t="shared" si="107"/>
        <v>#N/A</v>
      </c>
      <c r="D370" s="393" t="e">
        <f t="shared" si="98"/>
        <v>#N/A</v>
      </c>
      <c r="E370" s="476" t="e">
        <f t="shared" si="92"/>
        <v>#N/A</v>
      </c>
      <c r="F370" s="394" t="e">
        <f>VLOOKUP(A370,F316:H344,3,TRUE)</f>
        <v>#N/A</v>
      </c>
      <c r="G370" s="394" t="e">
        <f>VLOOKUP(A370,F316:AD344,6,TRUE)</f>
        <v>#N/A</v>
      </c>
      <c r="H370" s="394" t="e">
        <f>VLOOKUP(A370,F316:AD344,7,TRUE)</f>
        <v>#N/A</v>
      </c>
      <c r="I370" s="394" t="e">
        <f>VLOOKUP(A370,F316:AD344,8,TRUE)</f>
        <v>#N/A</v>
      </c>
      <c r="J370" s="394" t="e">
        <f>IF(F370=0,0,'[3]WORK SHEET'!E28)</f>
        <v>#N/A</v>
      </c>
      <c r="K370" s="394" t="e">
        <f t="shared" si="99"/>
        <v>#N/A</v>
      </c>
      <c r="M370" s="394" t="e">
        <f t="shared" si="100"/>
        <v>#N/A</v>
      </c>
      <c r="N370" s="394" t="e">
        <f t="shared" si="101"/>
        <v>#N/A</v>
      </c>
      <c r="P370" s="394" t="e">
        <f>VLOOKUP(A370,F316:AD344,16,TRUE)</f>
        <v>#N/A</v>
      </c>
      <c r="Q370" s="394" t="e">
        <f>VLOOKUP(A370,F316:AD344,17,TRUE)</f>
        <v>#N/A</v>
      </c>
      <c r="R370" s="394" t="e">
        <f>VLOOKUP(A370,F316:AD344,18,TRUE)</f>
        <v>#N/A</v>
      </c>
      <c r="S370" s="394" t="e">
        <f>VLOOKUP(A370,F316:AD344,19,TRUE)</f>
        <v>#N/A</v>
      </c>
      <c r="T370" s="394" t="e">
        <f t="shared" si="102"/>
        <v>#N/A</v>
      </c>
      <c r="W370" s="394" t="e">
        <f t="shared" si="103"/>
        <v>#N/A</v>
      </c>
      <c r="X370" s="394" t="e">
        <f t="shared" si="104"/>
        <v>#N/A</v>
      </c>
      <c r="Y370" s="394" t="e">
        <f t="shared" si="105"/>
        <v>#N/A</v>
      </c>
    </row>
    <row r="371" spans="1:25" ht="12.75">
      <c r="A371" s="394">
        <f t="shared" si="106"/>
        <v>34</v>
      </c>
      <c r="C371" s="393" t="e">
        <f t="shared" si="107"/>
        <v>#N/A</v>
      </c>
      <c r="D371" s="393" t="e">
        <f>VLOOKUP(A371,C321:G349,5,TRUE)</f>
        <v>#N/A</v>
      </c>
      <c r="E371" s="476" t="e">
        <f t="shared" si="92"/>
        <v>#N/A</v>
      </c>
      <c r="F371" s="394" t="e">
        <f>VLOOKUP(A371,F316:H344,3,TRUE)</f>
        <v>#N/A</v>
      </c>
      <c r="G371" s="394" t="e">
        <f>VLOOKUP(A371,F316:AD344,6,TRUE)</f>
        <v>#N/A</v>
      </c>
      <c r="H371" s="394" t="e">
        <f>VLOOKUP(A371,F316:AD344,7,TRUE)</f>
        <v>#N/A</v>
      </c>
      <c r="I371" s="394" t="e">
        <f>VLOOKUP(A371,F316:AD344,8,TRUE)</f>
        <v>#N/A</v>
      </c>
      <c r="J371" s="394" t="e">
        <f>IF(F371=0,0,'[3]WORK SHEET'!E28)</f>
        <v>#N/A</v>
      </c>
      <c r="K371" s="394" t="e">
        <f t="shared" si="99"/>
        <v>#N/A</v>
      </c>
      <c r="M371" s="394" t="e">
        <f t="shared" si="100"/>
        <v>#N/A</v>
      </c>
      <c r="N371" s="394" t="e">
        <f t="shared" si="101"/>
        <v>#N/A</v>
      </c>
      <c r="P371" s="394" t="e">
        <f>VLOOKUP(A371,F316:AD344,16,TRUE)</f>
        <v>#N/A</v>
      </c>
      <c r="Q371" s="394" t="e">
        <f>VLOOKUP(A371,F316:AD344,17,TRUE)</f>
        <v>#N/A</v>
      </c>
      <c r="R371" s="394" t="e">
        <f>VLOOKUP(A371,F316:AD344,18,TRUE)</f>
        <v>#N/A</v>
      </c>
      <c r="S371" s="394" t="e">
        <f>VLOOKUP(A371,F316:AD344,19,TRUE)</f>
        <v>#N/A</v>
      </c>
      <c r="T371" s="394" t="e">
        <f t="shared" si="102"/>
        <v>#N/A</v>
      </c>
      <c r="W371" s="394" t="e">
        <f t="shared" si="103"/>
        <v>#N/A</v>
      </c>
      <c r="X371" s="394" t="e">
        <f t="shared" si="104"/>
        <v>#N/A</v>
      </c>
      <c r="Y371" s="394" t="e">
        <f t="shared" si="105"/>
        <v>#N/A</v>
      </c>
    </row>
    <row r="372" spans="1:25" ht="12.75">
      <c r="A372" s="394">
        <f t="shared" si="106"/>
        <v>35</v>
      </c>
      <c r="C372" s="393" t="e">
        <f t="shared" si="107"/>
        <v>#N/A</v>
      </c>
      <c r="D372" s="393" t="e">
        <f t="shared" si="98"/>
        <v>#N/A</v>
      </c>
      <c r="E372" s="476" t="e">
        <f t="shared" si="92"/>
        <v>#N/A</v>
      </c>
      <c r="F372" s="394" t="e">
        <f>VLOOKUP(A372,F316:H344,3,TRUE)</f>
        <v>#N/A</v>
      </c>
      <c r="G372" s="394" t="e">
        <f>VLOOKUP(A372,F316:AD344,6,TRUE)</f>
        <v>#N/A</v>
      </c>
      <c r="H372" s="394" t="e">
        <f>VLOOKUP(A372,F316:AD344,7,TRUE)</f>
        <v>#N/A</v>
      </c>
      <c r="I372" s="394" t="e">
        <f>VLOOKUP(A372,F316:AD344,8,TRUE)</f>
        <v>#N/A</v>
      </c>
      <c r="J372" s="394" t="e">
        <f>IF(F372=0,0,'[3]WORK SHEET'!E28)</f>
        <v>#N/A</v>
      </c>
      <c r="K372" s="394" t="e">
        <f t="shared" si="99"/>
        <v>#N/A</v>
      </c>
      <c r="M372" s="394" t="e">
        <f t="shared" si="100"/>
        <v>#N/A</v>
      </c>
      <c r="N372" s="394" t="e">
        <f t="shared" si="101"/>
        <v>#N/A</v>
      </c>
      <c r="P372" s="394" t="e">
        <f>VLOOKUP(A372,F316:AD344,16,TRUE)</f>
        <v>#N/A</v>
      </c>
      <c r="Q372" s="394" t="e">
        <f>VLOOKUP(A372,F316:AD344,17,TRUE)</f>
        <v>#N/A</v>
      </c>
      <c r="R372" s="394" t="e">
        <f>VLOOKUP(A372,F316:AD344,18,TRUE)</f>
        <v>#N/A</v>
      </c>
      <c r="S372" s="394" t="e">
        <f>VLOOKUP(A372,F316:AD344,19,TRUE)</f>
        <v>#N/A</v>
      </c>
      <c r="T372" s="394" t="e">
        <f t="shared" si="102"/>
        <v>#N/A</v>
      </c>
      <c r="W372" s="394" t="e">
        <f t="shared" si="103"/>
        <v>#N/A</v>
      </c>
      <c r="X372" s="394" t="e">
        <f t="shared" si="104"/>
        <v>#N/A</v>
      </c>
      <c r="Y372" s="394" t="e">
        <f t="shared" si="105"/>
        <v>#N/A</v>
      </c>
    </row>
    <row r="373" spans="1:25" ht="12.75">
      <c r="A373" s="394">
        <f t="shared" si="106"/>
        <v>36</v>
      </c>
      <c r="C373" s="393" t="e">
        <f t="shared" si="107"/>
        <v>#N/A</v>
      </c>
      <c r="D373" s="393" t="e">
        <f t="shared" si="98"/>
        <v>#N/A</v>
      </c>
      <c r="E373" s="476" t="e">
        <f t="shared" si="92"/>
        <v>#N/A</v>
      </c>
      <c r="F373" s="394" t="e">
        <f>VLOOKUP(A373,F316:H344,3,TRUE)</f>
        <v>#N/A</v>
      </c>
      <c r="G373" s="394" t="e">
        <f>VLOOKUP(A373,F316:AD344,6,TRUE)</f>
        <v>#N/A</v>
      </c>
      <c r="H373" s="394" t="e">
        <f>VLOOKUP(A373,F316:AD344,7,TRUE)</f>
        <v>#N/A</v>
      </c>
      <c r="I373" s="394" t="e">
        <f>VLOOKUP(A373,F316:AD344,8,TRUE)</f>
        <v>#N/A</v>
      </c>
      <c r="J373" s="394" t="e">
        <f>IF(F373=0,0,'[3]WORK SHEET'!E28)</f>
        <v>#N/A</v>
      </c>
      <c r="K373" s="394" t="e">
        <f t="shared" si="99"/>
        <v>#N/A</v>
      </c>
      <c r="M373" s="394" t="e">
        <f t="shared" si="100"/>
        <v>#N/A</v>
      </c>
      <c r="N373" s="394" t="e">
        <f t="shared" si="101"/>
        <v>#N/A</v>
      </c>
      <c r="P373" s="394" t="e">
        <f>VLOOKUP(A373,F316:AD344,16,TRUE)</f>
        <v>#N/A</v>
      </c>
      <c r="Q373" s="394" t="e">
        <f>VLOOKUP(A373,F316:AD344,17,TRUE)</f>
        <v>#N/A</v>
      </c>
      <c r="R373" s="394" t="e">
        <f>VLOOKUP(A373,F316:AD344,18,TRUE)</f>
        <v>#N/A</v>
      </c>
      <c r="S373" s="394" t="e">
        <f>VLOOKUP(A373,F316:AD344,19,TRUE)</f>
        <v>#N/A</v>
      </c>
      <c r="T373" s="394" t="e">
        <f t="shared" si="102"/>
        <v>#N/A</v>
      </c>
      <c r="W373" s="394" t="e">
        <f t="shared" si="103"/>
        <v>#N/A</v>
      </c>
      <c r="X373" s="394" t="e">
        <f t="shared" si="104"/>
        <v>#N/A</v>
      </c>
      <c r="Y373" s="394" t="e">
        <f t="shared" si="105"/>
        <v>#N/A</v>
      </c>
    </row>
    <row r="374" spans="1:25" ht="12.75">
      <c r="A374" s="394">
        <f t="shared" si="106"/>
        <v>37</v>
      </c>
      <c r="C374" s="393" t="e">
        <f t="shared" si="107"/>
        <v>#N/A</v>
      </c>
      <c r="D374" s="393" t="e">
        <f t="shared" si="98"/>
        <v>#N/A</v>
      </c>
      <c r="E374" s="476" t="e">
        <f t="shared" si="92"/>
        <v>#N/A</v>
      </c>
      <c r="F374" s="394" t="e">
        <f>VLOOKUP(A374,F316:H344,3,TRUE)</f>
        <v>#N/A</v>
      </c>
      <c r="G374" s="394" t="e">
        <f>VLOOKUP(A374,F316:AD344,6,TRUE)</f>
        <v>#N/A</v>
      </c>
      <c r="H374" s="394" t="e">
        <f>VLOOKUP(A374,F316:AD344,7,TRUE)</f>
        <v>#N/A</v>
      </c>
      <c r="I374" s="394" t="e">
        <f>VLOOKUP(A374,F316:AD344,8,TRUE)</f>
        <v>#N/A</v>
      </c>
      <c r="J374" s="394" t="e">
        <f>IF(F374=0,0,'[3]WORK SHEET'!E28)</f>
        <v>#N/A</v>
      </c>
      <c r="K374" s="394" t="e">
        <f t="shared" si="99"/>
        <v>#N/A</v>
      </c>
      <c r="M374" s="394" t="e">
        <f t="shared" si="100"/>
        <v>#N/A</v>
      </c>
      <c r="N374" s="394" t="e">
        <f t="shared" si="101"/>
        <v>#N/A</v>
      </c>
      <c r="P374" s="394" t="e">
        <f>VLOOKUP(A374,F316:AD344,16,TRUE)</f>
        <v>#N/A</v>
      </c>
      <c r="Q374" s="394" t="e">
        <f>VLOOKUP(A374,F316:AD344,17,TRUE)</f>
        <v>#N/A</v>
      </c>
      <c r="R374" s="394" t="e">
        <f>VLOOKUP(A374,F316:AD344,18,TRUE)</f>
        <v>#N/A</v>
      </c>
      <c r="S374" s="394" t="e">
        <f>VLOOKUP(A374,F316:AD344,19,TRUE)</f>
        <v>#N/A</v>
      </c>
      <c r="T374" s="394" t="e">
        <f t="shared" si="102"/>
        <v>#N/A</v>
      </c>
      <c r="W374" s="394" t="e">
        <f t="shared" si="103"/>
        <v>#N/A</v>
      </c>
      <c r="X374" s="394" t="e">
        <f t="shared" si="104"/>
        <v>#N/A</v>
      </c>
      <c r="Y374" s="394" t="e">
        <f t="shared" si="105"/>
        <v>#N/A</v>
      </c>
    </row>
    <row r="375" spans="1:25" ht="12.75">
      <c r="A375" s="394">
        <f t="shared" si="106"/>
        <v>38</v>
      </c>
      <c r="C375" s="393" t="e">
        <f t="shared" si="107"/>
        <v>#N/A</v>
      </c>
      <c r="D375" s="393" t="e">
        <f t="shared" si="98"/>
        <v>#N/A</v>
      </c>
      <c r="E375" s="476" t="e">
        <f t="shared" si="92"/>
        <v>#N/A</v>
      </c>
      <c r="F375" s="394" t="e">
        <f>VLOOKUP(A375,F316:H344,3,TRUE)</f>
        <v>#N/A</v>
      </c>
      <c r="G375" s="394" t="e">
        <f>VLOOKUP(A375,F316:AD344,6,TRUE)</f>
        <v>#N/A</v>
      </c>
      <c r="H375" s="394" t="e">
        <f>VLOOKUP(A375,F316:AD344,7,TRUE)</f>
        <v>#N/A</v>
      </c>
      <c r="I375" s="394" t="e">
        <f>VLOOKUP(A375,F316:AD344,8,TRUE)</f>
        <v>#N/A</v>
      </c>
      <c r="J375" s="394" t="e">
        <f>IF(F375=0,0,'[3]WORK SHEET'!E28)</f>
        <v>#N/A</v>
      </c>
      <c r="K375" s="394" t="e">
        <f t="shared" si="99"/>
        <v>#N/A</v>
      </c>
      <c r="M375" s="394" t="e">
        <f t="shared" si="100"/>
        <v>#N/A</v>
      </c>
      <c r="N375" s="394" t="e">
        <f t="shared" si="101"/>
        <v>#N/A</v>
      </c>
      <c r="P375" s="394" t="e">
        <f>VLOOKUP(A375,F316:AD344,16,TRUE)</f>
        <v>#N/A</v>
      </c>
      <c r="Q375" s="394" t="e">
        <f>VLOOKUP(A375,F316:AD344,17,TRUE)</f>
        <v>#N/A</v>
      </c>
      <c r="R375" s="394" t="e">
        <f>VLOOKUP(A375,F316:AD344,18,TRUE)</f>
        <v>#N/A</v>
      </c>
      <c r="S375" s="394" t="e">
        <f>VLOOKUP(A375,F316:AD344,19,TRUE)</f>
        <v>#N/A</v>
      </c>
      <c r="T375" s="394" t="e">
        <f t="shared" si="102"/>
        <v>#N/A</v>
      </c>
      <c r="W375" s="394" t="e">
        <f t="shared" si="103"/>
        <v>#N/A</v>
      </c>
      <c r="X375" s="394" t="e">
        <f t="shared" si="104"/>
        <v>#N/A</v>
      </c>
      <c r="Y375" s="394" t="e">
        <f t="shared" si="105"/>
        <v>#N/A</v>
      </c>
    </row>
    <row r="376" spans="1:25" ht="12.75">
      <c r="A376" s="394">
        <f t="shared" si="106"/>
        <v>39</v>
      </c>
      <c r="C376" s="393" t="e">
        <f t="shared" si="107"/>
        <v>#N/A</v>
      </c>
      <c r="D376" s="393" t="e">
        <f t="shared" si="98"/>
        <v>#N/A</v>
      </c>
      <c r="E376" s="476" t="e">
        <f t="shared" si="92"/>
        <v>#N/A</v>
      </c>
      <c r="F376" s="394" t="e">
        <f>VLOOKUP(A376,F316:H344,3,TRUE)</f>
        <v>#N/A</v>
      </c>
      <c r="G376" s="394" t="e">
        <f>VLOOKUP(A376,F316:AD344,6,TRUE)</f>
        <v>#N/A</v>
      </c>
      <c r="H376" s="394" t="e">
        <f>VLOOKUP(A376,F316:AD344,7,TRUE)</f>
        <v>#N/A</v>
      </c>
      <c r="I376" s="394" t="e">
        <f>VLOOKUP(A376,F316:AD344,8,TRUE)</f>
        <v>#N/A</v>
      </c>
      <c r="J376" s="394" t="e">
        <f>IF(F376=0,0,'[3]WORK SHEET'!E28)</f>
        <v>#N/A</v>
      </c>
      <c r="K376" s="394" t="e">
        <f t="shared" si="99"/>
        <v>#N/A</v>
      </c>
      <c r="M376" s="394" t="e">
        <f t="shared" si="100"/>
        <v>#N/A</v>
      </c>
      <c r="N376" s="394" t="e">
        <f t="shared" si="101"/>
        <v>#N/A</v>
      </c>
      <c r="P376" s="394" t="e">
        <f>VLOOKUP(A376,F316:AD344,16,TRUE)</f>
        <v>#N/A</v>
      </c>
      <c r="Q376" s="394" t="e">
        <f>VLOOKUP(A376,F316:AD344,17,TRUE)</f>
        <v>#N/A</v>
      </c>
      <c r="R376" s="394" t="e">
        <f>VLOOKUP(A376,F316:AD344,18,TRUE)</f>
        <v>#N/A</v>
      </c>
      <c r="S376" s="394" t="e">
        <f>VLOOKUP(A376,F316:AD344,19,TRUE)</f>
        <v>#N/A</v>
      </c>
      <c r="T376" s="394" t="e">
        <f t="shared" si="102"/>
        <v>#N/A</v>
      </c>
      <c r="W376" s="394" t="e">
        <f t="shared" si="103"/>
        <v>#N/A</v>
      </c>
      <c r="X376" s="394" t="e">
        <f t="shared" si="104"/>
        <v>#N/A</v>
      </c>
      <c r="Y376" s="394" t="e">
        <f t="shared" si="105"/>
        <v>#N/A</v>
      </c>
    </row>
    <row r="377" spans="1:25" ht="12.75">
      <c r="A377" s="394">
        <f t="shared" si="106"/>
        <v>40</v>
      </c>
      <c r="C377" s="393" t="e">
        <f t="shared" si="107"/>
        <v>#N/A</v>
      </c>
      <c r="D377" s="393" t="e">
        <f t="shared" si="98"/>
        <v>#N/A</v>
      </c>
      <c r="E377" s="476" t="e">
        <f t="shared" si="92"/>
        <v>#N/A</v>
      </c>
      <c r="F377" s="394" t="e">
        <f>VLOOKUP(A377,F316:H344,3,TRUE)</f>
        <v>#N/A</v>
      </c>
      <c r="G377" s="394" t="e">
        <f>VLOOKUP(A377,F316:AD344,6,TRUE)</f>
        <v>#N/A</v>
      </c>
      <c r="H377" s="394" t="e">
        <f>VLOOKUP(A377,F316:AD344,7,TRUE)</f>
        <v>#N/A</v>
      </c>
      <c r="I377" s="394" t="e">
        <f>VLOOKUP(A377,F316:AD344,8,TRUE)</f>
        <v>#N/A</v>
      </c>
      <c r="J377" s="394" t="e">
        <f>IF(F377=0,0,'[3]WORK SHEET'!E28)</f>
        <v>#N/A</v>
      </c>
      <c r="K377" s="394" t="e">
        <f t="shared" si="99"/>
        <v>#N/A</v>
      </c>
      <c r="M377" s="394" t="e">
        <f t="shared" si="100"/>
        <v>#N/A</v>
      </c>
      <c r="N377" s="394" t="e">
        <f t="shared" si="101"/>
        <v>#N/A</v>
      </c>
      <c r="P377" s="394" t="e">
        <f>VLOOKUP(A377,F316:AD344,16,TRUE)</f>
        <v>#N/A</v>
      </c>
      <c r="Q377" s="394" t="e">
        <f>VLOOKUP(A377,F316:AD344,17,TRUE)</f>
        <v>#N/A</v>
      </c>
      <c r="R377" s="394" t="e">
        <f>VLOOKUP(A377,F316:AD344,18,TRUE)</f>
        <v>#N/A</v>
      </c>
      <c r="S377" s="394" t="e">
        <f>VLOOKUP(A377,F316:AD344,19,TRUE)</f>
        <v>#N/A</v>
      </c>
      <c r="T377" s="394" t="e">
        <f t="shared" si="102"/>
        <v>#N/A</v>
      </c>
      <c r="W377" s="394" t="e">
        <f t="shared" si="103"/>
        <v>#N/A</v>
      </c>
      <c r="X377" s="394" t="e">
        <f t="shared" si="104"/>
        <v>#N/A</v>
      </c>
      <c r="Y377" s="394" t="e">
        <f t="shared" si="105"/>
        <v>#N/A</v>
      </c>
    </row>
    <row r="378" spans="1:25" ht="12.75">
      <c r="A378" s="394">
        <f t="shared" si="106"/>
        <v>41</v>
      </c>
      <c r="C378" s="393" t="e">
        <f t="shared" si="107"/>
        <v>#N/A</v>
      </c>
      <c r="D378" s="393" t="e">
        <f t="shared" si="98"/>
        <v>#N/A</v>
      </c>
      <c r="E378" s="476" t="e">
        <f t="shared" si="92"/>
        <v>#N/A</v>
      </c>
      <c r="F378" s="394" t="e">
        <f>VLOOKUP(A378,F316:H344,3,TRUE)</f>
        <v>#N/A</v>
      </c>
      <c r="G378" s="394" t="e">
        <f>VLOOKUP(A378,F316:AD344,6,TRUE)</f>
        <v>#N/A</v>
      </c>
      <c r="H378" s="394" t="e">
        <f>VLOOKUP(A378,F316:AD344,7,TRUE)</f>
        <v>#N/A</v>
      </c>
      <c r="I378" s="394" t="e">
        <f>VLOOKUP(A378,F316:AD344,8,TRUE)</f>
        <v>#N/A</v>
      </c>
      <c r="J378" s="394" t="e">
        <f>IF(F378=0,0,'[3]WORK SHEET'!E28)</f>
        <v>#N/A</v>
      </c>
      <c r="K378" s="394" t="e">
        <f t="shared" si="99"/>
        <v>#N/A</v>
      </c>
      <c r="M378" s="394" t="e">
        <f t="shared" si="100"/>
        <v>#N/A</v>
      </c>
      <c r="N378" s="394" t="e">
        <f t="shared" si="101"/>
        <v>#N/A</v>
      </c>
      <c r="P378" s="394" t="e">
        <f>VLOOKUP(A378,F316:AD344,16,TRUE)</f>
        <v>#N/A</v>
      </c>
      <c r="Q378" s="394" t="e">
        <f>VLOOKUP(A378,F316:AD344,17,TRUE)</f>
        <v>#N/A</v>
      </c>
      <c r="R378" s="394" t="e">
        <f>VLOOKUP(A378,F316:AD344,18,TRUE)</f>
        <v>#N/A</v>
      </c>
      <c r="S378" s="394" t="e">
        <f>VLOOKUP(A378,F316:AD344,19,TRUE)</f>
        <v>#N/A</v>
      </c>
      <c r="T378" s="394" t="e">
        <f t="shared" si="102"/>
        <v>#N/A</v>
      </c>
      <c r="W378" s="394" t="e">
        <f t="shared" si="103"/>
        <v>#N/A</v>
      </c>
      <c r="X378" s="394" t="e">
        <f t="shared" si="104"/>
        <v>#N/A</v>
      </c>
      <c r="Y378" s="394" t="e">
        <f t="shared" si="105"/>
        <v>#N/A</v>
      </c>
    </row>
    <row r="379" spans="1:20" ht="12.75">
      <c r="A379" s="394">
        <f t="shared" si="106"/>
        <v>42</v>
      </c>
      <c r="C379" s="393" t="e">
        <f t="shared" si="107"/>
        <v>#N/A</v>
      </c>
      <c r="D379" s="393" t="e">
        <f t="shared" si="98"/>
        <v>#N/A</v>
      </c>
      <c r="E379" s="476" t="e">
        <f t="shared" si="92"/>
        <v>#N/A</v>
      </c>
      <c r="F379" s="394" t="e">
        <f>VLOOKUP(A379,F316:H344,3,TRUE)</f>
        <v>#N/A</v>
      </c>
      <c r="G379" s="394" t="e">
        <f>VLOOKUP(A379,F316:AD344,6,TRUE)</f>
        <v>#N/A</v>
      </c>
      <c r="H379" s="394" t="e">
        <f>VLOOKUP(A379,F316:AD344,7,TRUE)</f>
        <v>#N/A</v>
      </c>
      <c r="I379" s="394" t="e">
        <f>VLOOKUP(A379,F316:AD344,8,TRUE)</f>
        <v>#N/A</v>
      </c>
      <c r="J379" s="394" t="e">
        <f>IF(F379=0,0,'[3]WORK SHEET'!E28)</f>
        <v>#N/A</v>
      </c>
      <c r="K379" s="394" t="e">
        <f t="shared" si="99"/>
        <v>#N/A</v>
      </c>
      <c r="M379" s="394" t="e">
        <f t="shared" si="100"/>
        <v>#N/A</v>
      </c>
      <c r="N379" s="394" t="e">
        <f t="shared" si="101"/>
        <v>#N/A</v>
      </c>
      <c r="P379" s="394" t="e">
        <f>VLOOKUP(A379,F316:AD344,16,TRUE)</f>
        <v>#N/A</v>
      </c>
      <c r="Q379" s="394" t="e">
        <f>VLOOKUP(A379,F316:AD344,17,TRUE)</f>
        <v>#N/A</v>
      </c>
      <c r="R379" s="394" t="e">
        <f>VLOOKUP(A379,F316:AD344,18,TRUE)</f>
        <v>#N/A</v>
      </c>
      <c r="S379" s="394" t="e">
        <f>VLOOKUP(A379,F316:AD344,19,TRUE)</f>
        <v>#N/A</v>
      </c>
      <c r="T379" s="394" t="e">
        <f t="shared" si="102"/>
        <v>#N/A</v>
      </c>
    </row>
    <row r="386" ht="12.75">
      <c r="E386" s="394">
        <v>6</v>
      </c>
    </row>
    <row r="390" ht="12.75">
      <c r="B390" s="394">
        <v>1</v>
      </c>
    </row>
    <row r="391" ht="12.75">
      <c r="B391" s="394">
        <v>2</v>
      </c>
    </row>
    <row r="392" ht="12.75">
      <c r="B392" s="394">
        <v>3</v>
      </c>
    </row>
    <row r="393" ht="12.75">
      <c r="B393" s="559">
        <v>4</v>
      </c>
    </row>
    <row r="394" ht="12.75">
      <c r="B394" s="559">
        <v>5</v>
      </c>
    </row>
    <row r="395" ht="12.75">
      <c r="B395" s="559">
        <v>6</v>
      </c>
    </row>
    <row r="396" ht="12.75">
      <c r="B396" s="559">
        <v>7</v>
      </c>
    </row>
    <row r="397" spans="2:7" ht="12.75">
      <c r="B397" s="559">
        <v>8</v>
      </c>
      <c r="E397" s="415">
        <f>DATE(2011,4,25)+DAY(25)</f>
        <v>40683</v>
      </c>
      <c r="G397" s="394">
        <f>DAY(25)</f>
        <v>25</v>
      </c>
    </row>
    <row r="398" spans="2:6" ht="12.75">
      <c r="B398" s="559">
        <v>9</v>
      </c>
      <c r="F398" s="394" t="e">
        <f>DATEVALUE(25/APR/2011)</f>
        <v>#NAME?</v>
      </c>
    </row>
    <row r="399" ht="12.75">
      <c r="B399" s="559">
        <v>10</v>
      </c>
    </row>
    <row r="400" ht="12.75">
      <c r="B400" s="559">
        <v>11</v>
      </c>
    </row>
    <row r="401" ht="12.75">
      <c r="B401" s="559">
        <v>12</v>
      </c>
    </row>
    <row r="417" ht="12.75">
      <c r="B417" s="415"/>
    </row>
    <row r="419" spans="4:6" ht="12.75">
      <c r="D419" s="570">
        <v>40634</v>
      </c>
      <c r="E419" s="568">
        <v>40654</v>
      </c>
      <c r="F419" s="569">
        <f>E419-D419</f>
        <v>20</v>
      </c>
    </row>
    <row r="424" ht="12.75">
      <c r="C424" s="394">
        <f>DAYS360(1.82011,21.82011,)</f>
        <v>20</v>
      </c>
    </row>
  </sheetData>
  <sheetProtection/>
  <mergeCells count="6">
    <mergeCell ref="F92:I92"/>
    <mergeCell ref="F166:I166"/>
    <mergeCell ref="F238:I238"/>
    <mergeCell ref="G314:L314"/>
    <mergeCell ref="F346:M346"/>
    <mergeCell ref="P346:X346"/>
  </mergeCells>
  <dataValidations count="1">
    <dataValidation type="list" allowBlank="1" showInputMessage="1" showErrorMessage="1" sqref="E386">
      <formula1>$B$390:$B$401</formula1>
    </dataValidation>
  </dataValidation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J35"/>
  <sheetViews>
    <sheetView zoomScalePageLayoutView="0" workbookViewId="0" topLeftCell="A34">
      <selection activeCell="AI26" sqref="AI26"/>
    </sheetView>
  </sheetViews>
  <sheetFormatPr defaultColWidth="9.140625" defaultRowHeight="12.75"/>
  <cols>
    <col min="1" max="1" width="6.140625" style="0" customWidth="1"/>
    <col min="2" max="2" width="8.8515625" style="0" customWidth="1"/>
    <col min="3" max="5" width="2.00390625" style="0" customWidth="1"/>
    <col min="6" max="8" width="2.421875" style="0" customWidth="1"/>
    <col min="9" max="9" width="2.7109375" style="0" customWidth="1"/>
    <col min="10" max="10" width="5.140625" style="0" customWidth="1"/>
    <col min="11" max="11" width="4.421875" style="0" customWidth="1"/>
    <col min="12" max="14" width="2.421875" style="0" customWidth="1"/>
    <col min="15" max="15" width="2.140625" style="0" customWidth="1"/>
    <col min="16" max="16" width="3.28125" style="0" customWidth="1"/>
    <col min="17" max="17" width="8.00390625" style="0" customWidth="1"/>
    <col min="18" max="18" width="10.28125" style="0" customWidth="1"/>
    <col min="19" max="19" width="5.7109375" style="0" customWidth="1"/>
    <col min="20" max="20" width="4.28125" style="0" customWidth="1"/>
    <col min="21" max="21" width="3.00390625" style="0" customWidth="1"/>
    <col min="22" max="22" width="2.00390625" style="0" customWidth="1"/>
    <col min="23" max="24" width="2.57421875" style="0" customWidth="1"/>
    <col min="25" max="25" width="2.421875" style="0" customWidth="1"/>
    <col min="26" max="26" width="3.28125" style="0" customWidth="1"/>
    <col min="27" max="27" width="3.421875" style="0" customWidth="1"/>
    <col min="28" max="28" width="9.421875" style="0" customWidth="1"/>
    <col min="29" max="30" width="2.28125" style="0" customWidth="1"/>
    <col min="31" max="31" width="2.57421875" style="0" customWidth="1"/>
    <col min="32" max="32" width="2.28125" style="0" customWidth="1"/>
    <col min="33" max="33" width="3.421875" style="0" customWidth="1"/>
    <col min="34" max="34" width="5.8515625" style="0" customWidth="1"/>
  </cols>
  <sheetData>
    <row r="1" spans="1:35" ht="12.7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row>
    <row r="2" spans="1:35" ht="12.75">
      <c r="A2" s="766" t="s">
        <v>303</v>
      </c>
      <c r="B2" s="766"/>
      <c r="C2" s="766"/>
      <c r="D2" s="766"/>
      <c r="E2" s="766"/>
      <c r="F2" s="766"/>
      <c r="G2" s="766"/>
      <c r="H2" s="766"/>
      <c r="I2" s="766"/>
      <c r="J2" s="766"/>
      <c r="K2" s="766"/>
      <c r="L2" s="766"/>
      <c r="M2" s="766"/>
      <c r="N2" s="766"/>
      <c r="O2" s="766"/>
      <c r="P2" s="766"/>
      <c r="Q2" s="289"/>
      <c r="R2" s="768" t="s">
        <v>304</v>
      </c>
      <c r="S2" s="768"/>
      <c r="T2" s="768"/>
      <c r="U2" s="768"/>
      <c r="V2" s="768"/>
      <c r="W2" s="768"/>
      <c r="X2" s="768"/>
      <c r="Y2" s="768"/>
      <c r="Z2" s="768"/>
      <c r="AA2" s="768"/>
      <c r="AB2" s="768"/>
      <c r="AC2" s="768"/>
      <c r="AD2" s="768"/>
      <c r="AE2" s="768"/>
      <c r="AF2" s="768"/>
      <c r="AG2" s="768"/>
      <c r="AH2" s="768"/>
      <c r="AI2" s="768"/>
    </row>
    <row r="3" spans="1:17" ht="12.75">
      <c r="A3" s="766" t="s">
        <v>305</v>
      </c>
      <c r="B3" s="766"/>
      <c r="C3" s="766"/>
      <c r="D3" s="766"/>
      <c r="E3" s="766"/>
      <c r="F3" s="766"/>
      <c r="G3" s="766"/>
      <c r="H3" s="766"/>
      <c r="I3" s="766"/>
      <c r="J3" s="766"/>
      <c r="K3" s="766"/>
      <c r="L3" s="766"/>
      <c r="M3" s="766"/>
      <c r="N3" s="766"/>
      <c r="O3" s="766"/>
      <c r="P3" s="766"/>
      <c r="Q3" s="289"/>
    </row>
    <row r="4" spans="1:35" ht="13.5" thickBot="1">
      <c r="A4" s="766" t="s">
        <v>307</v>
      </c>
      <c r="B4" s="766"/>
      <c r="C4" s="766"/>
      <c r="D4" s="766"/>
      <c r="E4" s="766"/>
      <c r="F4" s="766"/>
      <c r="G4" s="766"/>
      <c r="H4" s="766"/>
      <c r="I4" s="766"/>
      <c r="J4" s="766"/>
      <c r="K4" s="766"/>
      <c r="L4" s="766"/>
      <c r="M4" s="766"/>
      <c r="N4" s="766"/>
      <c r="O4" s="766"/>
      <c r="P4" s="766"/>
      <c r="Q4" s="289"/>
      <c r="R4" s="766" t="s">
        <v>306</v>
      </c>
      <c r="S4" s="766"/>
      <c r="T4" s="766"/>
      <c r="U4" s="766"/>
      <c r="V4" s="766"/>
      <c r="W4" s="766"/>
      <c r="X4" s="766"/>
      <c r="Y4" s="766"/>
      <c r="Z4" s="766"/>
      <c r="AA4" s="766"/>
      <c r="AB4" s="766"/>
      <c r="AC4" s="766"/>
      <c r="AD4" s="766"/>
      <c r="AE4" s="766"/>
      <c r="AF4" s="766"/>
      <c r="AG4" s="766"/>
      <c r="AH4" s="766"/>
      <c r="AI4" s="766"/>
    </row>
    <row r="5" spans="1:36" ht="13.5" thickBot="1">
      <c r="A5" s="769"/>
      <c r="B5" s="769"/>
      <c r="C5" s="769"/>
      <c r="D5" s="769"/>
      <c r="E5" s="769"/>
      <c r="F5" s="769"/>
      <c r="G5" s="769"/>
      <c r="H5" s="769"/>
      <c r="I5" s="769"/>
      <c r="J5" s="769"/>
      <c r="K5" s="769"/>
      <c r="L5" s="769"/>
      <c r="M5" s="769"/>
      <c r="N5" s="769"/>
      <c r="O5" s="769"/>
      <c r="P5" s="769"/>
      <c r="Q5" s="291"/>
      <c r="R5" s="292" t="s">
        <v>308</v>
      </c>
      <c r="S5" s="499">
        <f>aptc47!F6</f>
        <v>0</v>
      </c>
      <c r="T5" s="499">
        <f>aptc47!G6</f>
        <v>2</v>
      </c>
      <c r="U5" s="499">
        <f>aptc47!H6</f>
        <v>0</v>
      </c>
      <c r="V5" s="773">
        <f>aptc47!I6</f>
        <v>2</v>
      </c>
      <c r="W5" s="774"/>
      <c r="X5" s="293"/>
      <c r="Y5" s="293"/>
      <c r="Z5" s="294" t="s">
        <v>314</v>
      </c>
      <c r="AA5" s="295"/>
      <c r="AB5" s="295"/>
      <c r="AC5" s="295"/>
      <c r="AD5" s="295"/>
      <c r="AE5" s="295"/>
      <c r="AF5" s="295"/>
      <c r="AG5" s="295"/>
      <c r="AH5" s="345"/>
      <c r="AI5" s="347"/>
      <c r="AJ5" s="164"/>
    </row>
    <row r="6" spans="1:36" ht="13.5" thickBot="1">
      <c r="A6" s="291" t="s">
        <v>271</v>
      </c>
      <c r="B6" s="291"/>
      <c r="C6" s="504">
        <f aca="true" t="shared" si="0" ref="C6:I6">S9</f>
        <v>2</v>
      </c>
      <c r="D6" s="504">
        <f t="shared" si="0"/>
        <v>2</v>
      </c>
      <c r="E6" s="504">
        <f t="shared" si="0"/>
        <v>0</v>
      </c>
      <c r="F6" s="504">
        <f t="shared" si="0"/>
        <v>2</v>
      </c>
      <c r="G6" s="504">
        <f t="shared" si="0"/>
        <v>1</v>
      </c>
      <c r="H6" s="504">
        <f t="shared" si="0"/>
        <v>4</v>
      </c>
      <c r="I6" s="506">
        <f t="shared" si="0"/>
        <v>2</v>
      </c>
      <c r="J6" s="296" t="s">
        <v>272</v>
      </c>
      <c r="K6" s="291"/>
      <c r="L6" s="291"/>
      <c r="M6" s="297">
        <f>'[2]ap471'!E7</f>
        <v>0</v>
      </c>
      <c r="N6" s="297">
        <f>'[2]ap471'!F7</f>
        <v>0</v>
      </c>
      <c r="O6" s="297">
        <f>'[2]ap471'!G7</f>
        <v>0</v>
      </c>
      <c r="P6" s="297">
        <f>'[2]ap471'!H7</f>
        <v>0</v>
      </c>
      <c r="Q6" s="291"/>
      <c r="R6" s="293"/>
      <c r="S6" s="298"/>
      <c r="T6" s="299"/>
      <c r="U6" s="299"/>
      <c r="V6" s="299"/>
      <c r="W6" s="298"/>
      <c r="X6" s="293"/>
      <c r="Y6" s="293"/>
      <c r="Z6" s="300"/>
      <c r="AA6" s="301"/>
      <c r="AB6" s="301"/>
      <c r="AC6" s="301"/>
      <c r="AD6" s="301"/>
      <c r="AE6" s="301"/>
      <c r="AF6" s="301"/>
      <c r="AG6" s="301"/>
      <c r="AH6" s="301"/>
      <c r="AI6" s="327"/>
      <c r="AJ6" s="164"/>
    </row>
    <row r="7" spans="1:35" ht="13.5" thickBot="1">
      <c r="A7" s="291" t="s">
        <v>230</v>
      </c>
      <c r="B7" s="291"/>
      <c r="C7" s="760" t="str">
        <f>annexure!C6</f>
        <v>Mandal Educational Officer</v>
      </c>
      <c r="D7" s="760"/>
      <c r="E7" s="760"/>
      <c r="F7" s="760"/>
      <c r="G7" s="760"/>
      <c r="H7" s="760"/>
      <c r="I7" s="760"/>
      <c r="J7" s="760"/>
      <c r="K7" s="760"/>
      <c r="L7" s="291"/>
      <c r="M7" s="771">
        <f>'[2]ap471'!O5</f>
        <v>0</v>
      </c>
      <c r="N7" s="772"/>
      <c r="O7" s="772"/>
      <c r="P7" s="772"/>
      <c r="Q7" s="291"/>
      <c r="R7" s="292" t="s">
        <v>273</v>
      </c>
      <c r="S7" s="500" t="str">
        <f>SH!E16</f>
        <v>STO, ELURU</v>
      </c>
      <c r="T7" s="501"/>
      <c r="U7" s="501"/>
      <c r="V7" s="501"/>
      <c r="W7" s="502"/>
      <c r="X7" s="503"/>
      <c r="Y7" s="293"/>
      <c r="Z7" s="775" t="s">
        <v>274</v>
      </c>
      <c r="AA7" s="776"/>
      <c r="AB7" s="776"/>
      <c r="AC7" s="334"/>
      <c r="AD7" s="335"/>
      <c r="AE7" s="335"/>
      <c r="AF7" s="335"/>
      <c r="AG7" s="335"/>
      <c r="AH7" s="336"/>
      <c r="AI7" s="347"/>
    </row>
    <row r="8" spans="1:36" ht="13.5" thickBot="1">
      <c r="A8" s="291"/>
      <c r="B8" s="291"/>
      <c r="C8" s="760"/>
      <c r="D8" s="760"/>
      <c r="E8" s="760"/>
      <c r="F8" s="760"/>
      <c r="G8" s="760"/>
      <c r="H8" s="760"/>
      <c r="I8" s="760"/>
      <c r="J8" s="760"/>
      <c r="K8" s="760"/>
      <c r="L8" s="291"/>
      <c r="M8" s="291"/>
      <c r="N8" s="291"/>
      <c r="O8" s="291"/>
      <c r="P8" s="291"/>
      <c r="Q8" s="291"/>
      <c r="R8" s="293"/>
      <c r="S8" s="298"/>
      <c r="T8" s="299"/>
      <c r="U8" s="299"/>
      <c r="V8" s="299"/>
      <c r="W8" s="298"/>
      <c r="X8" s="293"/>
      <c r="Y8" s="293"/>
      <c r="Z8" s="333"/>
      <c r="AA8" s="339"/>
      <c r="AB8" s="340"/>
      <c r="AC8" s="337"/>
      <c r="AD8" s="317"/>
      <c r="AE8" s="317"/>
      <c r="AF8" s="317"/>
      <c r="AG8" s="317"/>
      <c r="AH8" s="338"/>
      <c r="AI8" s="327"/>
      <c r="AJ8" s="164"/>
    </row>
    <row r="9" spans="1:36" ht="13.5" thickBot="1">
      <c r="A9" s="291" t="s">
        <v>0</v>
      </c>
      <c r="B9" s="291"/>
      <c r="C9" s="291"/>
      <c r="D9" s="291"/>
      <c r="E9" s="291"/>
      <c r="F9" s="291"/>
      <c r="G9" s="291"/>
      <c r="H9" s="291"/>
      <c r="I9" s="291"/>
      <c r="J9" s="291"/>
      <c r="K9" s="291"/>
      <c r="L9" s="291"/>
      <c r="M9" s="291"/>
      <c r="N9" s="291"/>
      <c r="O9" s="291"/>
      <c r="P9" s="291"/>
      <c r="Q9" s="291"/>
      <c r="R9" s="292" t="s">
        <v>275</v>
      </c>
      <c r="S9" s="504">
        <f>aptc47!F7</f>
        <v>2</v>
      </c>
      <c r="T9" s="504">
        <f>aptc47!G7</f>
        <v>2</v>
      </c>
      <c r="U9" s="504">
        <f>aptc47!H7</f>
        <v>0</v>
      </c>
      <c r="V9" s="504">
        <f>aptc47!I7</f>
        <v>2</v>
      </c>
      <c r="W9" s="504">
        <f>aptc47!J7</f>
        <v>1</v>
      </c>
      <c r="X9" s="504">
        <f>aptc47!K7</f>
        <v>4</v>
      </c>
      <c r="Y9" s="506">
        <f>aptc47!L7</f>
        <v>2</v>
      </c>
      <c r="Z9" s="507"/>
      <c r="AA9" s="303"/>
      <c r="AB9" s="304"/>
      <c r="AC9" s="304"/>
      <c r="AD9" s="304"/>
      <c r="AE9" s="304"/>
      <c r="AF9" s="304"/>
      <c r="AG9" s="304"/>
      <c r="AH9" s="305"/>
      <c r="AI9" s="347"/>
      <c r="AJ9" s="164"/>
    </row>
    <row r="10" spans="1:36" ht="12.75">
      <c r="A10" s="291" t="s">
        <v>276</v>
      </c>
      <c r="B10" s="291"/>
      <c r="C10" s="291"/>
      <c r="D10" s="291"/>
      <c r="E10" s="291"/>
      <c r="F10" s="291"/>
      <c r="G10" s="291"/>
      <c r="H10" s="291"/>
      <c r="I10" s="291"/>
      <c r="J10" s="291"/>
      <c r="K10" s="291"/>
      <c r="L10" s="291"/>
      <c r="M10" s="291"/>
      <c r="N10" s="291"/>
      <c r="O10" s="291"/>
      <c r="P10" s="291"/>
      <c r="Q10" s="291"/>
      <c r="R10" s="756" t="s">
        <v>277</v>
      </c>
      <c r="S10" s="756"/>
      <c r="T10" s="760" t="str">
        <f>C7</f>
        <v>Mandal Educational Officer</v>
      </c>
      <c r="U10" s="760"/>
      <c r="V10" s="760"/>
      <c r="W10" s="760"/>
      <c r="X10" s="760"/>
      <c r="Y10" s="478"/>
      <c r="Z10" s="296" t="s">
        <v>278</v>
      </c>
      <c r="AA10" s="307"/>
      <c r="AB10" s="307"/>
      <c r="AC10" s="761" t="str">
        <f>aptc47!P8</f>
        <v>M.P. PEDAPADU</v>
      </c>
      <c r="AD10" s="761"/>
      <c r="AE10" s="761"/>
      <c r="AF10" s="761"/>
      <c r="AG10" s="761"/>
      <c r="AH10" s="761"/>
      <c r="AI10" s="346"/>
      <c r="AJ10" s="164"/>
    </row>
    <row r="11" spans="1:35" ht="30.75" customHeight="1" thickBot="1">
      <c r="A11" s="291">
        <f>'[2]inf'!C3</f>
        <v>0</v>
      </c>
      <c r="B11" s="291"/>
      <c r="C11" s="291"/>
      <c r="D11" s="291"/>
      <c r="E11" s="291"/>
      <c r="F11" s="291"/>
      <c r="G11" s="291"/>
      <c r="H11" s="291"/>
      <c r="I11" s="291"/>
      <c r="J11" s="291"/>
      <c r="K11" s="291"/>
      <c r="L11" s="291"/>
      <c r="M11" s="291"/>
      <c r="N11" s="291"/>
      <c r="O11" s="291"/>
      <c r="P11" s="291"/>
      <c r="Q11" s="291"/>
      <c r="R11" s="756"/>
      <c r="S11" s="756"/>
      <c r="T11" s="760"/>
      <c r="U11" s="760"/>
      <c r="V11" s="760"/>
      <c r="W11" s="760"/>
      <c r="X11" s="760"/>
      <c r="Y11" s="478"/>
      <c r="Z11" s="291"/>
      <c r="AA11" s="308"/>
      <c r="AB11" s="291"/>
      <c r="AC11" s="762"/>
      <c r="AD11" s="762"/>
      <c r="AE11" s="762"/>
      <c r="AF11" s="762"/>
      <c r="AG11" s="762"/>
      <c r="AH11" s="762"/>
      <c r="AI11" s="309"/>
    </row>
    <row r="12" spans="1:35" ht="13.5" thickBot="1">
      <c r="A12" s="770"/>
      <c r="B12" s="770"/>
      <c r="C12" s="291"/>
      <c r="D12" s="291"/>
      <c r="E12" s="291"/>
      <c r="F12" s="291"/>
      <c r="G12" s="291"/>
      <c r="H12" s="291"/>
      <c r="I12" s="291"/>
      <c r="J12" s="291"/>
      <c r="K12" s="291"/>
      <c r="L12" s="291"/>
      <c r="M12" s="291"/>
      <c r="N12" s="291"/>
      <c r="O12" s="291"/>
      <c r="P12" s="291"/>
      <c r="Q12" s="291"/>
      <c r="R12" s="311" t="s">
        <v>279</v>
      </c>
      <c r="S12" s="311"/>
      <c r="T12" s="291"/>
      <c r="U12" s="508"/>
      <c r="V12" s="509">
        <f>aptc47!F9</f>
        <v>0</v>
      </c>
      <c r="W12" s="509">
        <f>aptc47!G9</f>
        <v>8</v>
      </c>
      <c r="X12" s="509">
        <f>aptc47!H9</f>
        <v>0</v>
      </c>
      <c r="Y12" s="509">
        <f>aptc47!I9</f>
        <v>5</v>
      </c>
      <c r="Z12" s="510" t="s">
        <v>532</v>
      </c>
      <c r="AA12" s="291"/>
      <c r="AB12" s="306"/>
      <c r="AC12" s="761" t="str">
        <f>aptc47!P9</f>
        <v>SBI, ELURU</v>
      </c>
      <c r="AD12" s="761"/>
      <c r="AE12" s="761"/>
      <c r="AF12" s="761"/>
      <c r="AG12" s="761"/>
      <c r="AH12" s="761"/>
      <c r="AI12" s="312"/>
    </row>
    <row r="13" spans="1:35" ht="12.75">
      <c r="A13" s="313" t="s">
        <v>280</v>
      </c>
      <c r="B13" s="291"/>
      <c r="C13" s="291"/>
      <c r="D13" s="291"/>
      <c r="E13" s="291"/>
      <c r="F13" s="291"/>
      <c r="G13" s="291"/>
      <c r="H13" s="291"/>
      <c r="I13" s="291"/>
      <c r="J13" s="291"/>
      <c r="K13" s="291"/>
      <c r="L13" s="291"/>
      <c r="M13" s="291"/>
      <c r="N13" s="291"/>
      <c r="O13" s="291"/>
      <c r="P13" s="291"/>
      <c r="Q13" s="291"/>
      <c r="R13" s="311"/>
      <c r="S13" s="311"/>
      <c r="T13" s="291"/>
      <c r="U13" s="298"/>
      <c r="V13" s="298"/>
      <c r="W13" s="298"/>
      <c r="X13" s="298"/>
      <c r="Y13" s="298"/>
      <c r="Z13" s="290"/>
      <c r="AA13" s="311"/>
      <c r="AB13" s="311"/>
      <c r="AC13" s="762"/>
      <c r="AD13" s="762"/>
      <c r="AE13" s="762"/>
      <c r="AF13" s="762"/>
      <c r="AG13" s="762"/>
      <c r="AH13" s="762"/>
      <c r="AI13" s="312"/>
    </row>
    <row r="14" spans="1:35" ht="18">
      <c r="A14" s="314" t="s">
        <v>281</v>
      </c>
      <c r="B14" s="314"/>
      <c r="C14" s="315"/>
      <c r="D14" s="315"/>
      <c r="E14" s="315"/>
      <c r="F14" s="316" t="s">
        <v>282</v>
      </c>
      <c r="G14" s="316"/>
      <c r="H14" s="316"/>
      <c r="I14" s="317"/>
      <c r="J14" s="304"/>
      <c r="K14" s="753" t="s">
        <v>313</v>
      </c>
      <c r="L14" s="753"/>
      <c r="M14" s="755">
        <f>AF20</f>
        <v>4379</v>
      </c>
      <c r="N14" s="755"/>
      <c r="O14" s="755"/>
      <c r="P14" s="755"/>
      <c r="Q14" s="314"/>
      <c r="R14" s="311" t="s">
        <v>23</v>
      </c>
      <c r="S14" s="311"/>
      <c r="T14" s="298"/>
      <c r="U14" s="318">
        <v>2</v>
      </c>
      <c r="V14" s="318">
        <v>2</v>
      </c>
      <c r="W14" s="318">
        <v>0</v>
      </c>
      <c r="X14" s="511">
        <v>2</v>
      </c>
      <c r="Y14" s="291"/>
      <c r="Z14" s="319">
        <f>'[2]ap471'!D18</f>
        <v>0</v>
      </c>
      <c r="AA14" s="319">
        <f>'[2]ap471'!E18</f>
        <v>0</v>
      </c>
      <c r="AB14" s="291"/>
      <c r="AC14" s="319">
        <f>'[2]ap471'!D20</f>
        <v>0</v>
      </c>
      <c r="AD14" s="319">
        <f>'[2]ap471'!E20</f>
        <v>0</v>
      </c>
      <c r="AE14" s="319">
        <f>'[2]ap471'!F20</f>
        <v>0</v>
      </c>
      <c r="AF14" s="298"/>
      <c r="AG14" s="318" t="s">
        <v>283</v>
      </c>
      <c r="AH14" s="318" t="s">
        <v>283</v>
      </c>
      <c r="AI14" s="291"/>
    </row>
    <row r="15" spans="1:35" ht="12.75">
      <c r="A15" s="763" t="s">
        <v>284</v>
      </c>
      <c r="B15" s="763"/>
      <c r="C15" s="763"/>
      <c r="D15" s="480"/>
      <c r="E15" s="480"/>
      <c r="F15" s="758" t="e">
        <f>U21</f>
        <v>#NAME?</v>
      </c>
      <c r="G15" s="758"/>
      <c r="H15" s="758"/>
      <c r="I15" s="758"/>
      <c r="J15" s="758"/>
      <c r="K15" s="758"/>
      <c r="L15" s="758"/>
      <c r="M15" s="758"/>
      <c r="N15" s="758"/>
      <c r="O15" s="758"/>
      <c r="P15" s="758"/>
      <c r="Q15" s="329"/>
      <c r="R15" s="311"/>
      <c r="S15" s="311"/>
      <c r="T15" s="767" t="s">
        <v>5</v>
      </c>
      <c r="U15" s="767"/>
      <c r="V15" s="767"/>
      <c r="W15" s="767"/>
      <c r="X15" s="767"/>
      <c r="Y15" s="479"/>
      <c r="Z15" s="767" t="s">
        <v>231</v>
      </c>
      <c r="AA15" s="767"/>
      <c r="AB15" s="767"/>
      <c r="AC15" s="320" t="s">
        <v>6</v>
      </c>
      <c r="AD15" s="320"/>
      <c r="AE15" s="320"/>
      <c r="AF15" s="320"/>
      <c r="AG15" s="320" t="s">
        <v>285</v>
      </c>
      <c r="AH15" s="320"/>
      <c r="AI15" s="291"/>
    </row>
    <row r="16" spans="1:35" ht="12.75">
      <c r="A16" s="321"/>
      <c r="B16" s="304"/>
      <c r="C16" s="322"/>
      <c r="D16" s="322"/>
      <c r="E16" s="322"/>
      <c r="F16" s="759"/>
      <c r="G16" s="759"/>
      <c r="H16" s="759"/>
      <c r="I16" s="759"/>
      <c r="J16" s="759"/>
      <c r="K16" s="759"/>
      <c r="L16" s="759"/>
      <c r="M16" s="759"/>
      <c r="N16" s="759"/>
      <c r="O16" s="759"/>
      <c r="P16" s="759"/>
      <c r="Q16" s="323"/>
      <c r="R16" s="291"/>
      <c r="S16" s="291"/>
      <c r="T16" s="319">
        <f>'[2]ap471'!D24</f>
        <v>0</v>
      </c>
      <c r="U16" s="319">
        <f>'[2]ap471'!E24</f>
        <v>0</v>
      </c>
      <c r="V16" s="291"/>
      <c r="W16" s="291"/>
      <c r="X16" s="318">
        <v>0</v>
      </c>
      <c r="Y16" s="318"/>
      <c r="Z16" s="318">
        <v>1</v>
      </c>
      <c r="AA16" s="318">
        <v>0</v>
      </c>
      <c r="AB16" s="291"/>
      <c r="AC16" s="318" t="s">
        <v>283</v>
      </c>
      <c r="AD16" s="318" t="s">
        <v>283</v>
      </c>
      <c r="AE16" s="318" t="s">
        <v>283</v>
      </c>
      <c r="AF16" s="291"/>
      <c r="AG16" s="291"/>
      <c r="AH16" s="291"/>
      <c r="AI16" s="291"/>
    </row>
    <row r="17" spans="1:35" ht="14.25" customHeight="1">
      <c r="A17" s="324" t="s">
        <v>286</v>
      </c>
      <c r="B17" s="310"/>
      <c r="C17" s="325"/>
      <c r="D17" s="325"/>
      <c r="E17" s="325"/>
      <c r="F17" s="764" t="str">
        <f>AC10</f>
        <v>M.P. PEDAPADU</v>
      </c>
      <c r="G17" s="764"/>
      <c r="H17" s="764"/>
      <c r="I17" s="764"/>
      <c r="J17" s="764"/>
      <c r="K17" s="764"/>
      <c r="L17" s="764"/>
      <c r="M17" s="764"/>
      <c r="N17" s="764"/>
      <c r="O17" s="764"/>
      <c r="P17" s="764"/>
      <c r="Q17" s="310"/>
      <c r="R17" s="291"/>
      <c r="S17" s="291"/>
      <c r="T17" s="320" t="s">
        <v>287</v>
      </c>
      <c r="U17" s="320"/>
      <c r="V17" s="320"/>
      <c r="W17" s="320"/>
      <c r="X17" s="320" t="s">
        <v>288</v>
      </c>
      <c r="Y17" s="320"/>
      <c r="Z17" s="320"/>
      <c r="AA17" s="320"/>
      <c r="AB17" s="320"/>
      <c r="AC17" s="320" t="s">
        <v>289</v>
      </c>
      <c r="AD17" s="320"/>
      <c r="AE17" s="320"/>
      <c r="AF17" s="291"/>
      <c r="AG17" s="291"/>
      <c r="AH17" s="291"/>
      <c r="AI17" s="291"/>
    </row>
    <row r="18" spans="1:35" ht="12.75">
      <c r="A18" s="310" t="s">
        <v>290</v>
      </c>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row>
    <row r="19" spans="1:35" ht="12.75">
      <c r="A19" s="291" t="s">
        <v>291</v>
      </c>
      <c r="B19" s="291"/>
      <c r="C19" s="291"/>
      <c r="D19" s="291"/>
      <c r="E19" s="291"/>
      <c r="F19" s="291"/>
      <c r="G19" s="291"/>
      <c r="H19" s="291"/>
      <c r="I19" s="291"/>
      <c r="J19" s="291"/>
      <c r="K19" s="291"/>
      <c r="L19" s="291"/>
      <c r="M19" s="291"/>
      <c r="N19" s="291"/>
      <c r="O19" s="291"/>
      <c r="P19" s="291"/>
      <c r="Q19" s="291"/>
      <c r="R19" s="296" t="s">
        <v>292</v>
      </c>
      <c r="S19" s="291"/>
      <c r="T19" s="326" t="s">
        <v>7</v>
      </c>
      <c r="U19" s="756" t="s">
        <v>293</v>
      </c>
      <c r="V19" s="756"/>
      <c r="W19" s="291"/>
      <c r="X19" s="318" t="s">
        <v>8</v>
      </c>
      <c r="Y19" s="505"/>
      <c r="Z19" s="765" t="s">
        <v>294</v>
      </c>
      <c r="AA19" s="756"/>
      <c r="AB19" s="756"/>
      <c r="AC19" s="291"/>
      <c r="AD19" s="318">
        <v>2</v>
      </c>
      <c r="AE19" s="318">
        <v>2</v>
      </c>
      <c r="AF19" s="318">
        <v>0</v>
      </c>
      <c r="AG19" s="318">
        <v>2</v>
      </c>
      <c r="AH19" s="291"/>
      <c r="AI19" s="327"/>
    </row>
    <row r="20" spans="1:35" ht="24" customHeight="1">
      <c r="A20" s="306"/>
      <c r="B20" s="306"/>
      <c r="C20" s="306"/>
      <c r="D20" s="306"/>
      <c r="E20" s="306"/>
      <c r="F20" s="306"/>
      <c r="G20" s="306"/>
      <c r="H20" s="306"/>
      <c r="I20" s="306"/>
      <c r="J20" s="310" t="s">
        <v>295</v>
      </c>
      <c r="K20" s="310"/>
      <c r="L20" s="310"/>
      <c r="M20" s="310"/>
      <c r="N20" s="306"/>
      <c r="O20" s="306"/>
      <c r="P20" s="306"/>
      <c r="Q20" s="306"/>
      <c r="R20" s="314" t="s">
        <v>296</v>
      </c>
      <c r="S20" s="754">
        <f>aptc47!G31</f>
        <v>4503</v>
      </c>
      <c r="T20" s="754"/>
      <c r="U20" s="754"/>
      <c r="V20" s="314" t="s">
        <v>297</v>
      </c>
      <c r="W20" s="314"/>
      <c r="X20" s="314"/>
      <c r="Y20" s="314"/>
      <c r="Z20" s="314" t="s">
        <v>29</v>
      </c>
      <c r="AA20" s="754">
        <f>aptc47!G32</f>
        <v>124</v>
      </c>
      <c r="AB20" s="754"/>
      <c r="AC20" s="310" t="s">
        <v>298</v>
      </c>
      <c r="AD20" s="310"/>
      <c r="AE20" s="310"/>
      <c r="AF20" s="754">
        <f>aptc47!G33</f>
        <v>4379</v>
      </c>
      <c r="AG20" s="754"/>
      <c r="AH20" s="754"/>
      <c r="AI20" s="293"/>
    </row>
    <row r="21" spans="1:35" ht="12.75">
      <c r="A21" s="306">
        <v>1</v>
      </c>
      <c r="B21" s="306"/>
      <c r="C21" s="306"/>
      <c r="D21" s="306"/>
      <c r="E21" s="306"/>
      <c r="F21" s="306"/>
      <c r="G21" s="306"/>
      <c r="H21" s="306"/>
      <c r="I21" s="306"/>
      <c r="J21" s="311" t="s">
        <v>1</v>
      </c>
      <c r="K21" s="311"/>
      <c r="L21" s="311"/>
      <c r="M21" s="311"/>
      <c r="N21" s="306"/>
      <c r="O21" s="306"/>
      <c r="P21" s="306"/>
      <c r="Q21" s="306"/>
      <c r="R21" s="329" t="s">
        <v>299</v>
      </c>
      <c r="S21" s="328"/>
      <c r="T21" s="328"/>
      <c r="U21" s="758" t="e">
        <f>aptc47!B35</f>
        <v>#NAME?</v>
      </c>
      <c r="V21" s="758"/>
      <c r="W21" s="758"/>
      <c r="X21" s="758"/>
      <c r="Y21" s="758"/>
      <c r="Z21" s="758"/>
      <c r="AA21" s="758"/>
      <c r="AB21" s="758"/>
      <c r="AC21" s="758"/>
      <c r="AD21" s="758"/>
      <c r="AE21" s="758"/>
      <c r="AF21" s="758"/>
      <c r="AG21" s="758"/>
      <c r="AH21" s="758"/>
      <c r="AI21" s="298"/>
    </row>
    <row r="22" spans="1:35" ht="12.75">
      <c r="A22" s="291"/>
      <c r="B22" s="291"/>
      <c r="C22" s="291"/>
      <c r="D22" s="291"/>
      <c r="E22" s="291"/>
      <c r="F22" s="291"/>
      <c r="G22" s="291"/>
      <c r="H22" s="291"/>
      <c r="I22" s="291"/>
      <c r="J22" s="291"/>
      <c r="K22" s="291"/>
      <c r="L22" s="291"/>
      <c r="M22" s="291"/>
      <c r="N22" s="291"/>
      <c r="O22" s="291"/>
      <c r="P22" s="291"/>
      <c r="Q22" s="291"/>
      <c r="R22" s="291"/>
      <c r="S22" s="330"/>
      <c r="T22" s="291"/>
      <c r="U22" s="759"/>
      <c r="V22" s="759"/>
      <c r="W22" s="759"/>
      <c r="X22" s="759"/>
      <c r="Y22" s="759"/>
      <c r="Z22" s="759"/>
      <c r="AA22" s="759"/>
      <c r="AB22" s="759"/>
      <c r="AC22" s="759"/>
      <c r="AD22" s="759"/>
      <c r="AE22" s="759"/>
      <c r="AF22" s="759"/>
      <c r="AG22" s="759"/>
      <c r="AH22" s="759"/>
      <c r="AI22" s="331"/>
    </row>
    <row r="23" spans="1:35" ht="12.75">
      <c r="A23" s="306"/>
      <c r="B23" s="291"/>
      <c r="C23" s="291"/>
      <c r="D23" s="291"/>
      <c r="E23" s="291"/>
      <c r="F23" s="291"/>
      <c r="G23" s="291"/>
      <c r="H23" s="291"/>
      <c r="I23" s="291"/>
      <c r="J23" s="291"/>
      <c r="K23" s="291"/>
      <c r="L23" s="291"/>
      <c r="M23" s="291"/>
      <c r="N23" s="291"/>
      <c r="O23" s="291"/>
      <c r="P23" s="291"/>
      <c r="Q23" s="291"/>
      <c r="R23" s="292" t="s">
        <v>309</v>
      </c>
      <c r="S23" s="332"/>
      <c r="T23" s="321"/>
      <c r="U23" s="321"/>
      <c r="V23" s="321" t="str">
        <f>SH!E19</f>
        <v>R.Gopikrishna</v>
      </c>
      <c r="W23" s="321"/>
      <c r="X23" s="321"/>
      <c r="Y23" s="321"/>
      <c r="Z23" s="321"/>
      <c r="AA23" s="321"/>
      <c r="AB23" s="321"/>
      <c r="AC23" s="332" t="s">
        <v>300</v>
      </c>
      <c r="AD23" s="332"/>
      <c r="AE23" s="332"/>
      <c r="AF23" s="321"/>
      <c r="AG23" s="321"/>
      <c r="AH23" s="321" t="str">
        <f>SH!E20</f>
        <v>SGT</v>
      </c>
      <c r="AI23" s="331"/>
    </row>
    <row r="24" spans="1:35" ht="12.75">
      <c r="A24" s="306">
        <v>2</v>
      </c>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row>
    <row r="25" spans="1:35" ht="12.75">
      <c r="A25" s="291"/>
      <c r="B25" s="291"/>
      <c r="C25" s="291"/>
      <c r="D25" s="291"/>
      <c r="E25" s="291"/>
      <c r="F25" s="291"/>
      <c r="G25" s="291"/>
      <c r="H25" s="291"/>
      <c r="I25" s="291"/>
      <c r="J25" s="291"/>
      <c r="K25" s="291"/>
      <c r="L25" s="291"/>
      <c r="M25" s="291"/>
      <c r="N25" s="291"/>
      <c r="O25" s="291"/>
      <c r="P25" s="291"/>
      <c r="Q25" s="291"/>
      <c r="R25" s="757" t="s">
        <v>301</v>
      </c>
      <c r="S25" s="757"/>
      <c r="T25" s="757"/>
      <c r="U25" s="757"/>
      <c r="V25" s="292" t="s">
        <v>232</v>
      </c>
      <c r="W25" s="290"/>
      <c r="X25" s="290"/>
      <c r="Y25" s="290"/>
      <c r="Z25" s="291"/>
      <c r="AA25" s="291"/>
      <c r="AB25" s="291"/>
      <c r="AC25" s="291"/>
      <c r="AD25" s="291"/>
      <c r="AE25" s="291"/>
      <c r="AF25" s="291"/>
      <c r="AG25" s="291"/>
      <c r="AH25" s="291"/>
      <c r="AI25" s="291"/>
    </row>
    <row r="26" spans="1:35" ht="12.75">
      <c r="A26" s="291"/>
      <c r="B26" s="291" t="s">
        <v>2</v>
      </c>
      <c r="C26" s="291"/>
      <c r="D26" s="291"/>
      <c r="E26" s="291"/>
      <c r="F26" s="291"/>
      <c r="G26" s="291"/>
      <c r="H26" s="291"/>
      <c r="I26" s="291"/>
      <c r="J26" s="291"/>
      <c r="K26" s="291"/>
      <c r="L26" s="291"/>
      <c r="M26" s="291"/>
      <c r="N26" s="291"/>
      <c r="O26" s="291"/>
      <c r="P26" s="291"/>
      <c r="Q26" s="291"/>
      <c r="R26" s="291"/>
      <c r="S26" s="291"/>
      <c r="T26" s="291"/>
      <c r="U26" s="291"/>
      <c r="V26" s="291"/>
      <c r="W26" s="290"/>
      <c r="X26" s="290"/>
      <c r="Y26" s="290"/>
      <c r="Z26" s="291"/>
      <c r="AA26" s="291"/>
      <c r="AB26" s="291"/>
      <c r="AC26" s="291"/>
      <c r="AD26" s="291"/>
      <c r="AE26" s="291"/>
      <c r="AF26" s="291"/>
      <c r="AG26" s="291"/>
      <c r="AH26" s="291"/>
      <c r="AI26" s="291"/>
    </row>
    <row r="27" spans="1:35" ht="12.75">
      <c r="A27" s="291"/>
      <c r="B27" s="291"/>
      <c r="C27" s="291"/>
      <c r="D27" s="291"/>
      <c r="E27" s="291"/>
      <c r="F27" s="291"/>
      <c r="G27" s="291"/>
      <c r="H27" s="291"/>
      <c r="I27" s="291"/>
      <c r="J27" s="291"/>
      <c r="K27" s="291"/>
      <c r="L27" s="291"/>
      <c r="M27" s="291"/>
      <c r="N27" s="291"/>
      <c r="O27" s="291"/>
      <c r="P27" s="291"/>
      <c r="Q27" s="291"/>
      <c r="R27" s="291"/>
      <c r="S27" s="291"/>
      <c r="T27" s="291"/>
      <c r="U27" s="291"/>
      <c r="V27" s="292" t="s">
        <v>233</v>
      </c>
      <c r="W27" s="291"/>
      <c r="X27" s="291"/>
      <c r="Y27" s="291"/>
      <c r="Z27" s="291"/>
      <c r="AA27" s="291"/>
      <c r="AB27" s="291"/>
      <c r="AC27" s="291"/>
      <c r="AD27" s="291"/>
      <c r="AE27" s="291"/>
      <c r="AF27" s="291"/>
      <c r="AG27" s="291"/>
      <c r="AH27" s="291"/>
      <c r="AI27" s="291"/>
    </row>
    <row r="28" spans="1:35" ht="12.75" customHeight="1">
      <c r="A28" s="291"/>
      <c r="B28" s="291" t="s">
        <v>295</v>
      </c>
      <c r="C28" s="291"/>
      <c r="D28" s="291"/>
      <c r="E28" s="291"/>
      <c r="F28" s="291"/>
      <c r="G28" s="291"/>
      <c r="H28" s="291"/>
      <c r="I28" s="291"/>
      <c r="J28" s="291"/>
      <c r="K28" s="756" t="s">
        <v>302</v>
      </c>
      <c r="L28" s="756"/>
      <c r="M28" s="756"/>
      <c r="N28" s="756"/>
      <c r="O28" s="756"/>
      <c r="P28" s="291"/>
      <c r="Q28" s="291"/>
      <c r="R28" s="290"/>
      <c r="S28" s="332" t="s">
        <v>234</v>
      </c>
      <c r="T28" s="291"/>
      <c r="U28" s="291"/>
      <c r="V28" s="291"/>
      <c r="W28" s="291"/>
      <c r="X28" s="332" t="s">
        <v>2</v>
      </c>
      <c r="Y28" s="332"/>
      <c r="Z28" s="291"/>
      <c r="AA28" s="291"/>
      <c r="AB28" s="291"/>
      <c r="AC28" s="766" t="s">
        <v>9</v>
      </c>
      <c r="AD28" s="766"/>
      <c r="AE28" s="766"/>
      <c r="AF28" s="766"/>
      <c r="AG28" s="766"/>
      <c r="AH28" s="766"/>
      <c r="AI28" s="291"/>
    </row>
    <row r="29" spans="1:35" ht="32.25" customHeight="1">
      <c r="A29" s="291"/>
      <c r="B29" s="291"/>
      <c r="C29" s="291"/>
      <c r="D29" s="291"/>
      <c r="E29" s="291"/>
      <c r="F29" s="291"/>
      <c r="G29" s="291"/>
      <c r="H29" s="291"/>
      <c r="I29" s="291"/>
      <c r="J29" s="291"/>
      <c r="K29" s="756"/>
      <c r="L29" s="756"/>
      <c r="M29" s="756"/>
      <c r="N29" s="756"/>
      <c r="O29" s="756"/>
      <c r="P29" s="291"/>
      <c r="Q29" s="291"/>
      <c r="R29" s="291"/>
      <c r="S29" s="291"/>
      <c r="T29" s="291"/>
      <c r="U29" s="291"/>
      <c r="V29" s="291"/>
      <c r="W29" s="291"/>
      <c r="X29" s="291"/>
      <c r="Y29" s="291"/>
      <c r="Z29" s="291"/>
      <c r="AA29" s="291"/>
      <c r="AB29" s="291"/>
      <c r="AC29" s="291"/>
      <c r="AD29" s="291"/>
      <c r="AE29" s="291"/>
      <c r="AF29" s="291"/>
      <c r="AG29" s="291"/>
      <c r="AH29" s="291"/>
      <c r="AI29" s="291"/>
    </row>
    <row r="30" spans="1:35" ht="12.75">
      <c r="A30" s="291"/>
      <c r="B30" s="291"/>
      <c r="C30" s="291"/>
      <c r="D30" s="291"/>
      <c r="E30" s="291"/>
      <c r="F30" s="291"/>
      <c r="G30" s="291"/>
      <c r="H30" s="291"/>
      <c r="I30" s="291"/>
      <c r="J30" s="291"/>
      <c r="K30" s="756"/>
      <c r="L30" s="756"/>
      <c r="M30" s="756"/>
      <c r="N30" s="756"/>
      <c r="O30" s="756"/>
      <c r="P30" s="291"/>
      <c r="Q30" s="291"/>
      <c r="R30" s="291"/>
      <c r="S30" s="291"/>
      <c r="T30" s="291"/>
      <c r="U30" s="291"/>
      <c r="V30" s="291"/>
      <c r="W30" s="291"/>
      <c r="X30" s="291"/>
      <c r="Y30" s="291"/>
      <c r="Z30" s="291"/>
      <c r="AA30" s="291"/>
      <c r="AB30" s="291"/>
      <c r="AC30" s="291"/>
      <c r="AD30" s="291"/>
      <c r="AE30" s="291"/>
      <c r="AF30" s="291"/>
      <c r="AG30" s="291"/>
      <c r="AH30" s="291"/>
      <c r="AI30" s="291"/>
    </row>
    <row r="31" spans="1:35" ht="12.75">
      <c r="A31" s="291"/>
      <c r="B31" s="291"/>
      <c r="C31" s="291"/>
      <c r="D31" s="291"/>
      <c r="E31" s="291"/>
      <c r="F31" s="291"/>
      <c r="G31" s="291"/>
      <c r="H31" s="291"/>
      <c r="I31" s="291"/>
      <c r="J31" s="291"/>
      <c r="K31" s="756"/>
      <c r="L31" s="756"/>
      <c r="M31" s="756"/>
      <c r="N31" s="756"/>
      <c r="O31" s="756"/>
      <c r="P31" s="291"/>
      <c r="Q31" s="291"/>
      <c r="R31" s="291"/>
      <c r="S31" s="291"/>
      <c r="T31" s="291"/>
      <c r="U31" s="291"/>
      <c r="V31" s="291"/>
      <c r="W31" s="291"/>
      <c r="X31" s="291"/>
      <c r="Y31" s="291"/>
      <c r="Z31" s="291"/>
      <c r="AA31" s="291"/>
      <c r="AB31" s="291"/>
      <c r="AC31" s="291"/>
      <c r="AD31" s="291"/>
      <c r="AE31" s="291"/>
      <c r="AF31" s="291"/>
      <c r="AG31" s="291"/>
      <c r="AH31" s="291"/>
      <c r="AI31" s="291"/>
    </row>
    <row r="32" spans="1:35" ht="12.75">
      <c r="A32" s="29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row>
    <row r="33" spans="1:35" ht="12.75">
      <c r="A33" s="29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row>
    <row r="34" spans="1:35" ht="12.75">
      <c r="A34" s="291"/>
      <c r="B34" s="291"/>
      <c r="C34" s="291"/>
      <c r="D34" s="291"/>
      <c r="E34" s="291"/>
      <c r="F34" s="291"/>
      <c r="G34" s="291"/>
      <c r="H34" s="291"/>
      <c r="I34" s="291"/>
      <c r="J34" s="291"/>
      <c r="K34" s="291"/>
      <c r="L34" s="291"/>
      <c r="M34" s="291"/>
      <c r="N34" s="291"/>
      <c r="O34" s="291"/>
      <c r="P34" s="291"/>
      <c r="Q34" s="291"/>
      <c r="R34" s="291"/>
      <c r="S34" s="291"/>
      <c r="T34" s="291"/>
      <c r="U34" s="291"/>
      <c r="V34" s="291"/>
      <c r="W34" s="332" t="s">
        <v>234</v>
      </c>
      <c r="X34" s="291"/>
      <c r="Y34" s="291"/>
      <c r="Z34" s="291"/>
      <c r="AA34" s="291"/>
      <c r="AB34" s="291"/>
      <c r="AC34" s="291"/>
      <c r="AD34" s="291"/>
      <c r="AE34" s="291"/>
      <c r="AF34" s="291"/>
      <c r="AG34" s="291"/>
      <c r="AH34" s="291"/>
      <c r="AI34" s="291"/>
    </row>
    <row r="35" spans="1:35" ht="12.75">
      <c r="A35" s="291"/>
      <c r="B35" s="291"/>
      <c r="C35" s="291"/>
      <c r="D35" s="291"/>
      <c r="E35" s="291"/>
      <c r="F35" s="291"/>
      <c r="G35" s="291"/>
      <c r="H35" s="291"/>
      <c r="I35" s="291"/>
      <c r="J35" s="291"/>
      <c r="K35" s="291"/>
      <c r="L35" s="291"/>
      <c r="M35" s="291"/>
      <c r="N35" s="291"/>
      <c r="O35" s="291"/>
      <c r="P35" s="291"/>
      <c r="Q35" s="291"/>
      <c r="R35" s="290"/>
      <c r="S35" s="290"/>
      <c r="T35" s="290"/>
      <c r="U35" s="290"/>
      <c r="V35" s="290"/>
      <c r="W35" s="290"/>
      <c r="X35" s="290"/>
      <c r="Y35" s="290"/>
      <c r="Z35" s="290"/>
      <c r="AA35" s="290"/>
      <c r="AB35" s="290"/>
      <c r="AC35" s="290"/>
      <c r="AD35" s="290"/>
      <c r="AE35" s="290"/>
      <c r="AF35" s="290"/>
      <c r="AG35" s="290"/>
      <c r="AH35" s="290"/>
      <c r="AI35" s="290"/>
    </row>
  </sheetData>
  <sheetProtection/>
  <mergeCells count="31">
    <mergeCell ref="A12:B12"/>
    <mergeCell ref="AC12:AH13"/>
    <mergeCell ref="M7:P7"/>
    <mergeCell ref="V5:W5"/>
    <mergeCell ref="Z7:AB7"/>
    <mergeCell ref="C7:K8"/>
    <mergeCell ref="A2:P2"/>
    <mergeCell ref="R2:AI2"/>
    <mergeCell ref="A3:P3"/>
    <mergeCell ref="R4:AI4"/>
    <mergeCell ref="A4:P4"/>
    <mergeCell ref="A5:P5"/>
    <mergeCell ref="A15:C15"/>
    <mergeCell ref="F15:P16"/>
    <mergeCell ref="F17:P17"/>
    <mergeCell ref="U19:V19"/>
    <mergeCell ref="Z19:AB19"/>
    <mergeCell ref="AC28:AH28"/>
    <mergeCell ref="AA20:AB20"/>
    <mergeCell ref="K28:O31"/>
    <mergeCell ref="T15:X15"/>
    <mergeCell ref="Z15:AB15"/>
    <mergeCell ref="K14:L14"/>
    <mergeCell ref="S20:U20"/>
    <mergeCell ref="AF20:AH20"/>
    <mergeCell ref="M14:P14"/>
    <mergeCell ref="R10:S11"/>
    <mergeCell ref="R25:U25"/>
    <mergeCell ref="U21:AH22"/>
    <mergeCell ref="T10:X11"/>
    <mergeCell ref="AC10:AH11"/>
  </mergeCells>
  <printOptions/>
  <pageMargins left="0.45" right="0.2" top="0.75" bottom="0.75" header="0.3" footer="0.3"/>
  <pageSetup horizontalDpi="300" verticalDpi="300" orientation="landscape" r:id="rId2"/>
  <drawing r:id="rId1"/>
</worksheet>
</file>

<file path=xl/worksheets/sheet11.xml><?xml version="1.0" encoding="utf-8"?>
<worksheet xmlns="http://schemas.openxmlformats.org/spreadsheetml/2006/main" xmlns:r="http://schemas.openxmlformats.org/officeDocument/2006/relationships">
  <sheetPr codeName="Sheet11"/>
  <dimension ref="A1:J42"/>
  <sheetViews>
    <sheetView zoomScalePageLayoutView="0" workbookViewId="0" topLeftCell="A1">
      <selection activeCell="A156" sqref="A156"/>
    </sheetView>
  </sheetViews>
  <sheetFormatPr defaultColWidth="9.140625" defaultRowHeight="12.75"/>
  <cols>
    <col min="1" max="1" width="4.140625" style="512" customWidth="1"/>
    <col min="2" max="2" width="27.00390625" style="512" bestFit="1" customWidth="1"/>
    <col min="3" max="3" width="4.8515625" style="512" customWidth="1"/>
    <col min="4" max="4" width="7.00390625" style="512" customWidth="1"/>
    <col min="5" max="5" width="9.7109375" style="512" customWidth="1"/>
    <col min="6" max="6" width="8.57421875" style="512" customWidth="1"/>
    <col min="7" max="7" width="9.8515625" style="512" customWidth="1"/>
    <col min="8" max="8" width="8.00390625" style="512" customWidth="1"/>
    <col min="9" max="9" width="6.28125" style="512" customWidth="1"/>
    <col min="10" max="10" width="9.140625" style="512" customWidth="1"/>
  </cols>
  <sheetData>
    <row r="1" spans="2:7" ht="15.75">
      <c r="B1" s="513" t="str">
        <f>CONCATENATE("D.D.O. CODE :  ",SH!E15,"")</f>
        <v>D.D.O. CODE :  2022202142</v>
      </c>
      <c r="G1" s="514" t="s">
        <v>533</v>
      </c>
    </row>
    <row r="2" ht="15.75">
      <c r="G2" s="514" t="s">
        <v>534</v>
      </c>
    </row>
    <row r="3" ht="13.5" thickBot="1"/>
    <row r="4" spans="1:10" ht="13.5" thickTop="1">
      <c r="A4" s="515"/>
      <c r="B4" s="516"/>
      <c r="C4" s="516"/>
      <c r="D4" s="516"/>
      <c r="E4" s="516"/>
      <c r="F4" s="516"/>
      <c r="G4" s="516"/>
      <c r="H4" s="516"/>
      <c r="I4" s="516"/>
      <c r="J4" s="517"/>
    </row>
    <row r="5" spans="1:10" ht="52.5" customHeight="1">
      <c r="A5" s="796" t="str">
        <f>CONCATENATE("SCHEDULE SHOWING THE PREPONEMENT INCREMENT ARREARS CREDITED TO  Z.P.P.F. FROM   01-08-10  TO  30-11-10  (4MONTHS)  OF ",SH!E2,",              ",SH!E3,",",SH!E4,",",SH!E5," ",SH!E6," MANDAL.")</f>
        <v>SCHEDULE SHOWING THE PREPONEMENT INCREMENT ARREARS CREDITED TO  Z.P.P.F. FROM   01-08-10  TO  30-11-10  (4MONTHS)  OF K.SRINIVASARAO,              S.G.T.,M.P.P.SCHOOL,R.V.S.NAGAR PEDAPADU MANDAL.</v>
      </c>
      <c r="B5" s="797"/>
      <c r="C5" s="797"/>
      <c r="D5" s="797"/>
      <c r="E5" s="797"/>
      <c r="F5" s="797"/>
      <c r="G5" s="797"/>
      <c r="H5" s="797"/>
      <c r="I5" s="797"/>
      <c r="J5" s="798"/>
    </row>
    <row r="6" spans="1:10" ht="18">
      <c r="A6" s="518"/>
      <c r="B6" s="519"/>
      <c r="C6" s="787" t="s">
        <v>535</v>
      </c>
      <c r="D6" s="787"/>
      <c r="E6" s="787"/>
      <c r="F6" s="788">
        <v>40817</v>
      </c>
      <c r="G6" s="788"/>
      <c r="H6" s="788"/>
      <c r="I6" s="520"/>
      <c r="J6" s="521"/>
    </row>
    <row r="7" spans="1:10" ht="12.75">
      <c r="A7" s="789" t="s">
        <v>536</v>
      </c>
      <c r="B7" s="790" t="s">
        <v>537</v>
      </c>
      <c r="C7" s="792" t="s">
        <v>300</v>
      </c>
      <c r="D7" s="792"/>
      <c r="E7" s="793" t="s">
        <v>538</v>
      </c>
      <c r="F7" s="792" t="s">
        <v>539</v>
      </c>
      <c r="G7" s="795" t="s">
        <v>540</v>
      </c>
      <c r="H7" s="792" t="s">
        <v>541</v>
      </c>
      <c r="I7" s="792"/>
      <c r="J7" s="777" t="s">
        <v>542</v>
      </c>
    </row>
    <row r="8" spans="1:10" ht="25.5">
      <c r="A8" s="789"/>
      <c r="B8" s="791"/>
      <c r="C8" s="792"/>
      <c r="D8" s="792"/>
      <c r="E8" s="794"/>
      <c r="F8" s="792"/>
      <c r="G8" s="795"/>
      <c r="H8" s="225" t="s">
        <v>543</v>
      </c>
      <c r="I8" s="225" t="s">
        <v>544</v>
      </c>
      <c r="J8" s="777"/>
    </row>
    <row r="9" spans="1:10" ht="15.75">
      <c r="A9" s="522">
        <v>1</v>
      </c>
      <c r="B9" s="523" t="str">
        <f>SH!E2</f>
        <v>K.SRINIVASARAO</v>
      </c>
      <c r="C9" s="778" t="str">
        <f>SH!E3</f>
        <v>S.G.T.</v>
      </c>
      <c r="D9" s="778"/>
      <c r="E9" s="546" t="str">
        <f>SH!E8</f>
        <v>239719</v>
      </c>
      <c r="F9" s="523">
        <f>SH!E10</f>
        <v>20379</v>
      </c>
      <c r="G9" s="549">
        <f>aptc47!Q31</f>
        <v>124</v>
      </c>
      <c r="H9" s="527" t="str">
        <f>'[4]BILL'!AE71</f>
        <v> </v>
      </c>
      <c r="I9" s="527"/>
      <c r="J9" s="528">
        <f>SUM(G9:I9)</f>
        <v>124</v>
      </c>
    </row>
    <row r="10" spans="1:10" ht="15.75">
      <c r="A10" s="522"/>
      <c r="B10" s="779" t="s">
        <v>79</v>
      </c>
      <c r="C10" s="780"/>
      <c r="D10" s="781"/>
      <c r="E10" s="529"/>
      <c r="F10" s="530"/>
      <c r="G10" s="531">
        <f>G9</f>
        <v>124</v>
      </c>
      <c r="H10" s="526"/>
      <c r="I10" s="165"/>
      <c r="J10" s="532">
        <f>J9</f>
        <v>124</v>
      </c>
    </row>
    <row r="11" spans="1:10" ht="12.75">
      <c r="A11" s="533"/>
      <c r="B11" s="534"/>
      <c r="C11" s="534"/>
      <c r="D11" s="534"/>
      <c r="E11" s="534"/>
      <c r="F11" s="534"/>
      <c r="G11" s="534"/>
      <c r="H11" s="534"/>
      <c r="I11" s="534"/>
      <c r="J11" s="535"/>
    </row>
    <row r="12" spans="1:10" ht="15.75">
      <c r="A12" s="782" t="e">
        <f>[1]!rswords(J10)</f>
        <v>#NAME?</v>
      </c>
      <c r="B12" s="783"/>
      <c r="C12" s="783"/>
      <c r="D12" s="783"/>
      <c r="E12" s="783"/>
      <c r="F12" s="783"/>
      <c r="G12" s="783"/>
      <c r="H12" s="783"/>
      <c r="I12" s="783"/>
      <c r="J12" s="784"/>
    </row>
    <row r="13" spans="1:10" ht="12.75">
      <c r="A13" s="533"/>
      <c r="B13" s="534"/>
      <c r="C13" s="534"/>
      <c r="D13" s="534"/>
      <c r="E13" s="534"/>
      <c r="F13" s="534"/>
      <c r="G13" s="534"/>
      <c r="H13" s="534"/>
      <c r="I13" s="534"/>
      <c r="J13" s="535"/>
    </row>
    <row r="14" spans="1:10" ht="12.75">
      <c r="A14" s="533"/>
      <c r="B14" s="534"/>
      <c r="C14" s="534"/>
      <c r="D14" s="534"/>
      <c r="E14" s="534"/>
      <c r="F14" s="534"/>
      <c r="G14" s="534"/>
      <c r="H14" s="534"/>
      <c r="I14" s="534"/>
      <c r="J14" s="535"/>
    </row>
    <row r="15" spans="1:10" ht="12.75">
      <c r="A15" s="533"/>
      <c r="B15" s="534"/>
      <c r="C15" s="534"/>
      <c r="D15" s="534"/>
      <c r="E15" s="534"/>
      <c r="F15" s="534"/>
      <c r="G15" s="534"/>
      <c r="H15" s="534"/>
      <c r="I15" s="534"/>
      <c r="J15" s="535"/>
    </row>
    <row r="16" spans="1:10" ht="15">
      <c r="A16" s="533"/>
      <c r="B16" s="534"/>
      <c r="C16" s="534"/>
      <c r="D16" s="534"/>
      <c r="E16" s="534"/>
      <c r="F16" s="534"/>
      <c r="G16" s="534"/>
      <c r="H16" s="785" t="s">
        <v>545</v>
      </c>
      <c r="I16" s="785"/>
      <c r="J16" s="786"/>
    </row>
    <row r="17" spans="1:10" ht="15">
      <c r="A17" s="533"/>
      <c r="B17" s="534"/>
      <c r="C17" s="534"/>
      <c r="D17" s="534"/>
      <c r="E17" s="534"/>
      <c r="F17" s="534"/>
      <c r="G17" s="534"/>
      <c r="H17" s="536"/>
      <c r="I17" s="536"/>
      <c r="J17" s="537"/>
    </row>
    <row r="18" spans="1:10" ht="15">
      <c r="A18" s="533"/>
      <c r="B18" s="534"/>
      <c r="C18" s="534"/>
      <c r="D18" s="534"/>
      <c r="E18" s="534"/>
      <c r="F18" s="534"/>
      <c r="G18" s="534"/>
      <c r="H18" s="536"/>
      <c r="I18" s="536"/>
      <c r="J18" s="537"/>
    </row>
    <row r="19" spans="1:10" ht="15.75" thickBot="1">
      <c r="A19" s="538"/>
      <c r="B19" s="539"/>
      <c r="C19" s="539"/>
      <c r="D19" s="539"/>
      <c r="E19" s="539"/>
      <c r="F19" s="539"/>
      <c r="G19" s="539"/>
      <c r="H19" s="540"/>
      <c r="I19" s="540"/>
      <c r="J19" s="541"/>
    </row>
    <row r="20" spans="8:10" ht="15.75" thickTop="1">
      <c r="H20" s="542"/>
      <c r="I20" s="542"/>
      <c r="J20" s="542"/>
    </row>
    <row r="21" spans="8:10" ht="15">
      <c r="H21" s="542"/>
      <c r="I21" s="542"/>
      <c r="J21" s="542"/>
    </row>
    <row r="22" spans="8:10" ht="15">
      <c r="H22" s="542"/>
      <c r="I22" s="542"/>
      <c r="J22" s="542"/>
    </row>
    <row r="23" spans="8:10" ht="15">
      <c r="H23" s="542"/>
      <c r="I23" s="542"/>
      <c r="J23" s="542"/>
    </row>
    <row r="24" spans="2:7" ht="15.75">
      <c r="B24" s="513" t="str">
        <f>CONCATENATE("D.D.O. CODE :  ",'[3]P. TOKEN'!B7)</f>
        <v>D.D.O. CODE :  02022202142</v>
      </c>
      <c r="G24" s="514" t="s">
        <v>533</v>
      </c>
    </row>
    <row r="25" ht="15.75">
      <c r="G25" s="514" t="s">
        <v>534</v>
      </c>
    </row>
    <row r="26" ht="13.5" thickBot="1"/>
    <row r="27" spans="1:10" ht="13.5" thickTop="1">
      <c r="A27" s="515"/>
      <c r="B27" s="516"/>
      <c r="C27" s="516"/>
      <c r="D27" s="516"/>
      <c r="E27" s="516"/>
      <c r="F27" s="516"/>
      <c r="G27" s="516"/>
      <c r="H27" s="516"/>
      <c r="I27" s="516"/>
      <c r="J27" s="517"/>
    </row>
    <row r="28" spans="1:10" ht="52.5" customHeight="1">
      <c r="A28" s="796" t="str">
        <f>A5</f>
        <v>SCHEDULE SHOWING THE PREPONEMENT INCREMENT ARREARS CREDITED TO  Z.P.P.F. FROM   01-08-10  TO  30-11-10  (4MONTHS)  OF K.SRINIVASARAO,              S.G.T.,M.P.P.SCHOOL,R.V.S.NAGAR PEDAPADU MANDAL.</v>
      </c>
      <c r="B28" s="797"/>
      <c r="C28" s="797"/>
      <c r="D28" s="797"/>
      <c r="E28" s="797"/>
      <c r="F28" s="797"/>
      <c r="G28" s="797"/>
      <c r="H28" s="797"/>
      <c r="I28" s="797"/>
      <c r="J28" s="798"/>
    </row>
    <row r="29" spans="1:10" ht="18">
      <c r="A29" s="518"/>
      <c r="B29" s="519"/>
      <c r="C29" s="787" t="s">
        <v>535</v>
      </c>
      <c r="D29" s="787"/>
      <c r="E29" s="787"/>
      <c r="F29" s="788">
        <f>F6</f>
        <v>40817</v>
      </c>
      <c r="G29" s="788"/>
      <c r="H29" s="788"/>
      <c r="I29" s="520"/>
      <c r="J29" s="521"/>
    </row>
    <row r="30" spans="1:10" ht="12.75">
      <c r="A30" s="789" t="s">
        <v>536</v>
      </c>
      <c r="B30" s="790" t="s">
        <v>537</v>
      </c>
      <c r="C30" s="792" t="s">
        <v>300</v>
      </c>
      <c r="D30" s="792"/>
      <c r="E30" s="793" t="s">
        <v>538</v>
      </c>
      <c r="F30" s="792" t="s">
        <v>539</v>
      </c>
      <c r="G30" s="795" t="s">
        <v>540</v>
      </c>
      <c r="H30" s="792" t="s">
        <v>546</v>
      </c>
      <c r="I30" s="792"/>
      <c r="J30" s="777" t="s">
        <v>542</v>
      </c>
    </row>
    <row r="31" spans="1:10" ht="25.5">
      <c r="A31" s="789"/>
      <c r="B31" s="791"/>
      <c r="C31" s="792"/>
      <c r="D31" s="792"/>
      <c r="E31" s="794"/>
      <c r="F31" s="792"/>
      <c r="G31" s="795"/>
      <c r="H31" s="225" t="s">
        <v>543</v>
      </c>
      <c r="I31" s="225" t="s">
        <v>544</v>
      </c>
      <c r="J31" s="777"/>
    </row>
    <row r="32" spans="1:10" ht="15.75">
      <c r="A32" s="522">
        <v>1</v>
      </c>
      <c r="B32" s="543" t="str">
        <f>B9</f>
        <v>K.SRINIVASARAO</v>
      </c>
      <c r="C32" s="778" t="str">
        <f>C9</f>
        <v>S.G.T.</v>
      </c>
      <c r="D32" s="778"/>
      <c r="E32" s="524" t="str">
        <f>E9</f>
        <v>239719</v>
      </c>
      <c r="F32" s="525">
        <f>F9</f>
        <v>20379</v>
      </c>
      <c r="G32" s="526">
        <f>G9</f>
        <v>124</v>
      </c>
      <c r="H32" s="527"/>
      <c r="I32" s="527"/>
      <c r="J32" s="528">
        <f>SUM(G32:I32)</f>
        <v>124</v>
      </c>
    </row>
    <row r="33" spans="1:10" ht="15.75">
      <c r="A33" s="522"/>
      <c r="B33" s="779" t="s">
        <v>79</v>
      </c>
      <c r="C33" s="780"/>
      <c r="D33" s="781"/>
      <c r="E33" s="529"/>
      <c r="F33" s="530"/>
      <c r="G33" s="531">
        <f>G32</f>
        <v>124</v>
      </c>
      <c r="H33" s="526"/>
      <c r="I33" s="165"/>
      <c r="J33" s="532">
        <f>J32</f>
        <v>124</v>
      </c>
    </row>
    <row r="34" spans="1:10" ht="12.75">
      <c r="A34" s="533"/>
      <c r="B34" s="534"/>
      <c r="C34" s="534"/>
      <c r="D34" s="534"/>
      <c r="E34" s="534"/>
      <c r="F34" s="534"/>
      <c r="G34" s="534"/>
      <c r="H34" s="534"/>
      <c r="I34" s="534"/>
      <c r="J34" s="535"/>
    </row>
    <row r="35" spans="1:10" ht="15.75">
      <c r="A35" s="782" t="e">
        <f>A12</f>
        <v>#NAME?</v>
      </c>
      <c r="B35" s="783"/>
      <c r="C35" s="783"/>
      <c r="D35" s="783"/>
      <c r="E35" s="783"/>
      <c r="F35" s="783"/>
      <c r="G35" s="783"/>
      <c r="H35" s="783"/>
      <c r="I35" s="783"/>
      <c r="J35" s="784"/>
    </row>
    <row r="36" spans="1:10" ht="12.75">
      <c r="A36" s="533"/>
      <c r="B36" s="534"/>
      <c r="C36" s="534"/>
      <c r="D36" s="534"/>
      <c r="E36" s="534"/>
      <c r="F36" s="534"/>
      <c r="G36" s="534"/>
      <c r="H36" s="534"/>
      <c r="I36" s="534"/>
      <c r="J36" s="535"/>
    </row>
    <row r="37" spans="1:10" ht="12.75">
      <c r="A37" s="533"/>
      <c r="B37" s="534"/>
      <c r="C37" s="534"/>
      <c r="D37" s="534"/>
      <c r="E37" s="534"/>
      <c r="F37" s="534"/>
      <c r="G37" s="534"/>
      <c r="H37" s="534"/>
      <c r="I37" s="534"/>
      <c r="J37" s="535"/>
    </row>
    <row r="38" spans="1:10" ht="12.75">
      <c r="A38" s="533"/>
      <c r="B38" s="534"/>
      <c r="C38" s="534"/>
      <c r="D38" s="534"/>
      <c r="E38" s="534"/>
      <c r="F38" s="534"/>
      <c r="G38" s="534"/>
      <c r="H38" s="534"/>
      <c r="I38" s="534"/>
      <c r="J38" s="535"/>
    </row>
    <row r="39" spans="1:10" ht="15">
      <c r="A39" s="533"/>
      <c r="B39" s="534"/>
      <c r="C39" s="534"/>
      <c r="D39" s="534"/>
      <c r="E39" s="534"/>
      <c r="F39" s="534"/>
      <c r="G39" s="534"/>
      <c r="H39" s="785" t="s">
        <v>545</v>
      </c>
      <c r="I39" s="785"/>
      <c r="J39" s="786"/>
    </row>
    <row r="40" spans="1:10" ht="12.75">
      <c r="A40" s="533"/>
      <c r="B40" s="534"/>
      <c r="C40" s="534"/>
      <c r="D40" s="534"/>
      <c r="E40" s="534"/>
      <c r="F40" s="534"/>
      <c r="G40" s="534"/>
      <c r="H40" s="534"/>
      <c r="I40" s="534"/>
      <c r="J40" s="535"/>
    </row>
    <row r="41" spans="1:10" ht="12.75">
      <c r="A41" s="533"/>
      <c r="B41" s="534"/>
      <c r="C41" s="534"/>
      <c r="D41" s="534"/>
      <c r="E41" s="534"/>
      <c r="F41" s="534"/>
      <c r="G41" s="534"/>
      <c r="H41" s="534"/>
      <c r="I41" s="534"/>
      <c r="J41" s="535"/>
    </row>
    <row r="42" spans="1:10" ht="13.5" thickBot="1">
      <c r="A42" s="538"/>
      <c r="B42" s="539"/>
      <c r="C42" s="539"/>
      <c r="D42" s="539"/>
      <c r="E42" s="539"/>
      <c r="F42" s="539"/>
      <c r="G42" s="539"/>
      <c r="H42" s="539"/>
      <c r="I42" s="539"/>
      <c r="J42" s="544"/>
    </row>
    <row r="43" ht="13.5" thickTop="1"/>
  </sheetData>
  <sheetProtection/>
  <mergeCells count="30">
    <mergeCell ref="A5:J5"/>
    <mergeCell ref="C6:E6"/>
    <mergeCell ref="F6:H6"/>
    <mergeCell ref="A7:A8"/>
    <mergeCell ref="B7:B8"/>
    <mergeCell ref="C7:D8"/>
    <mergeCell ref="E7:E8"/>
    <mergeCell ref="F7:F8"/>
    <mergeCell ref="G7:G8"/>
    <mergeCell ref="H7:I7"/>
    <mergeCell ref="E30:E31"/>
    <mergeCell ref="F30:F31"/>
    <mergeCell ref="G30:G31"/>
    <mergeCell ref="H30:I30"/>
    <mergeCell ref="J7:J8"/>
    <mergeCell ref="C9:D9"/>
    <mergeCell ref="B10:D10"/>
    <mergeCell ref="A12:J12"/>
    <mergeCell ref="H16:J16"/>
    <mergeCell ref="A28:J28"/>
    <mergeCell ref="J30:J31"/>
    <mergeCell ref="C32:D32"/>
    <mergeCell ref="B33:D33"/>
    <mergeCell ref="A35:J35"/>
    <mergeCell ref="H39:J39"/>
    <mergeCell ref="C29:E29"/>
    <mergeCell ref="F29:H29"/>
    <mergeCell ref="A30:A31"/>
    <mergeCell ref="B30:B31"/>
    <mergeCell ref="C30:D3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IV325"/>
  <sheetViews>
    <sheetView tabSelected="1" zoomScalePageLayoutView="0" workbookViewId="0" topLeftCell="A1">
      <selection activeCell="E18" sqref="E18:G18"/>
    </sheetView>
  </sheetViews>
  <sheetFormatPr defaultColWidth="9.140625" defaultRowHeight="12.75"/>
  <cols>
    <col min="1" max="1" width="3.7109375" style="0" customWidth="1"/>
    <col min="2" max="2" width="25.8515625" style="0" customWidth="1"/>
    <col min="3" max="3" width="21.57421875" style="0" customWidth="1"/>
    <col min="4" max="4" width="3.8515625" style="0" customWidth="1"/>
    <col min="5" max="5" width="11.7109375" style="0" customWidth="1"/>
    <col min="6" max="6" width="15.421875" style="0" customWidth="1"/>
    <col min="7" max="7" width="9.421875" style="0" customWidth="1"/>
    <col min="8" max="8" width="0.2890625" style="0" hidden="1" customWidth="1"/>
    <col min="9" max="9" width="11.00390625" style="0" customWidth="1"/>
    <col min="10" max="10" width="15.57421875" style="0" customWidth="1"/>
    <col min="12" max="12" width="10.7109375" style="0" bestFit="1" customWidth="1"/>
    <col min="13" max="13" width="20.421875" style="0" bestFit="1" customWidth="1"/>
    <col min="15" max="16" width="10.7109375" style="0" bestFit="1" customWidth="1"/>
    <col min="43" max="43" width="10.7109375" style="0" bestFit="1" customWidth="1"/>
    <col min="45" max="45" width="0.42578125" style="0" customWidth="1"/>
    <col min="46" max="54" width="9.140625" style="0" hidden="1" customWidth="1"/>
  </cols>
  <sheetData>
    <row r="1" spans="1:7" ht="38.25" thickBot="1">
      <c r="A1" s="624" t="s">
        <v>351</v>
      </c>
      <c r="B1" s="625"/>
      <c r="C1" s="625"/>
      <c r="D1" s="625"/>
      <c r="E1" s="625"/>
      <c r="F1" s="625"/>
      <c r="G1" s="625"/>
    </row>
    <row r="2" spans="1:7" ht="15">
      <c r="A2" s="626" t="s">
        <v>352</v>
      </c>
      <c r="B2" s="612" t="s">
        <v>353</v>
      </c>
      <c r="C2" s="612"/>
      <c r="D2" s="382" t="s">
        <v>14</v>
      </c>
      <c r="E2" s="629" t="s">
        <v>566</v>
      </c>
      <c r="F2" s="630"/>
      <c r="G2" s="631"/>
    </row>
    <row r="3" spans="1:7" ht="15">
      <c r="A3" s="627"/>
      <c r="B3" s="381" t="s">
        <v>383</v>
      </c>
      <c r="C3" s="381"/>
      <c r="D3" s="382"/>
      <c r="E3" s="383" t="s">
        <v>384</v>
      </c>
      <c r="F3" s="384"/>
      <c r="G3" s="385"/>
    </row>
    <row r="4" spans="1:7" ht="15">
      <c r="A4" s="628"/>
      <c r="B4" s="632" t="s">
        <v>354</v>
      </c>
      <c r="C4" s="632"/>
      <c r="D4" s="382" t="s">
        <v>14</v>
      </c>
      <c r="E4" s="606" t="s">
        <v>355</v>
      </c>
      <c r="F4" s="606"/>
      <c r="G4" s="606"/>
    </row>
    <row r="5" spans="1:7" ht="15">
      <c r="A5" s="628"/>
      <c r="B5" s="612" t="s">
        <v>356</v>
      </c>
      <c r="C5" s="612"/>
      <c r="D5" s="382" t="s">
        <v>14</v>
      </c>
      <c r="E5" s="606" t="s">
        <v>357</v>
      </c>
      <c r="F5" s="606"/>
      <c r="G5" s="606"/>
    </row>
    <row r="6" spans="1:7" ht="15">
      <c r="A6" s="628"/>
      <c r="B6" s="600" t="s">
        <v>358</v>
      </c>
      <c r="C6" s="600"/>
      <c r="D6" s="382" t="s">
        <v>14</v>
      </c>
      <c r="E6" s="606" t="s">
        <v>567</v>
      </c>
      <c r="F6" s="606"/>
      <c r="G6" s="606"/>
    </row>
    <row r="7" spans="1:7" ht="15">
      <c r="A7" s="628"/>
      <c r="B7" s="612" t="s">
        <v>359</v>
      </c>
      <c r="C7" s="612"/>
      <c r="D7" s="382" t="s">
        <v>14</v>
      </c>
      <c r="E7" s="606" t="s">
        <v>568</v>
      </c>
      <c r="F7" s="606"/>
      <c r="G7" s="606"/>
    </row>
    <row r="8" spans="1:7" ht="14.25">
      <c r="A8" s="628"/>
      <c r="B8" s="600" t="s">
        <v>360</v>
      </c>
      <c r="C8" s="600"/>
      <c r="D8" s="382" t="s">
        <v>14</v>
      </c>
      <c r="E8" s="619" t="s">
        <v>548</v>
      </c>
      <c r="F8" s="619"/>
      <c r="G8" s="619"/>
    </row>
    <row r="9" spans="1:7" ht="15">
      <c r="A9" s="628"/>
      <c r="B9" s="604" t="s">
        <v>362</v>
      </c>
      <c r="C9" s="604"/>
      <c r="D9" s="382" t="s">
        <v>14</v>
      </c>
      <c r="E9" s="603" t="s">
        <v>363</v>
      </c>
      <c r="F9" s="603"/>
      <c r="G9" s="603"/>
    </row>
    <row r="10" spans="1:7" ht="15" thickBot="1">
      <c r="A10" s="628"/>
      <c r="B10" s="602" t="s">
        <v>364</v>
      </c>
      <c r="C10" s="602"/>
      <c r="D10" s="382"/>
      <c r="E10" s="623">
        <v>20379</v>
      </c>
      <c r="F10" s="623"/>
      <c r="G10" s="623"/>
    </row>
    <row r="11" spans="1:7" ht="15">
      <c r="A11" s="608" t="s">
        <v>368</v>
      </c>
      <c r="B11" s="604" t="s">
        <v>369</v>
      </c>
      <c r="C11" s="604"/>
      <c r="D11" s="382" t="s">
        <v>14</v>
      </c>
      <c r="E11" s="611"/>
      <c r="F11" s="611"/>
      <c r="G11" s="611"/>
    </row>
    <row r="12" spans="1:7" s="248" customFormat="1" ht="20.25" customHeight="1">
      <c r="A12" s="609"/>
      <c r="B12" s="617" t="s">
        <v>523</v>
      </c>
      <c r="C12" s="618"/>
      <c r="D12" s="481"/>
      <c r="E12" s="620" t="s">
        <v>524</v>
      </c>
      <c r="F12" s="621"/>
      <c r="G12" s="622"/>
    </row>
    <row r="13" spans="1:7" ht="15">
      <c r="A13" s="610"/>
      <c r="B13" s="612" t="s">
        <v>371</v>
      </c>
      <c r="C13" s="612"/>
      <c r="D13" s="382" t="s">
        <v>14</v>
      </c>
      <c r="E13" s="613" t="s">
        <v>522</v>
      </c>
      <c r="F13" s="614"/>
      <c r="G13" s="615"/>
    </row>
    <row r="14" spans="1:256" ht="15">
      <c r="A14" s="610"/>
      <c r="B14" s="599" t="s">
        <v>547</v>
      </c>
      <c r="C14" s="599"/>
      <c r="D14" s="545"/>
      <c r="E14" s="596" t="s">
        <v>569</v>
      </c>
      <c r="F14" s="597"/>
      <c r="G14" s="598"/>
      <c r="H14" s="36"/>
      <c r="I14" s="594"/>
      <c r="J14" s="595"/>
      <c r="K14" s="594"/>
      <c r="L14" s="595"/>
      <c r="M14" s="594"/>
      <c r="N14" s="595"/>
      <c r="O14" s="594"/>
      <c r="P14" s="595"/>
      <c r="Q14" s="594"/>
      <c r="R14" s="595"/>
      <c r="S14" s="594"/>
      <c r="T14" s="595"/>
      <c r="U14" s="594"/>
      <c r="V14" s="595"/>
      <c r="W14" s="594"/>
      <c r="X14" s="595"/>
      <c r="Y14" s="594"/>
      <c r="Z14" s="595"/>
      <c r="AA14" s="594"/>
      <c r="AB14" s="595"/>
      <c r="AC14" s="594"/>
      <c r="AD14" s="595"/>
      <c r="AE14" s="594"/>
      <c r="AF14" s="595"/>
      <c r="AG14" s="594"/>
      <c r="AH14" s="595"/>
      <c r="AI14" s="594"/>
      <c r="AJ14" s="595"/>
      <c r="AK14" s="594"/>
      <c r="AL14" s="595"/>
      <c r="AM14" s="594"/>
      <c r="AN14" s="595"/>
      <c r="AO14" s="594"/>
      <c r="AP14" s="595"/>
      <c r="AQ14" s="594" t="s">
        <v>311</v>
      </c>
      <c r="AR14" s="595"/>
      <c r="AS14" s="594" t="s">
        <v>311</v>
      </c>
      <c r="AT14" s="595"/>
      <c r="AU14" s="594" t="s">
        <v>311</v>
      </c>
      <c r="AV14" s="595"/>
      <c r="AW14" s="594" t="s">
        <v>311</v>
      </c>
      <c r="AX14" s="595"/>
      <c r="AY14" s="594" t="s">
        <v>311</v>
      </c>
      <c r="AZ14" s="595"/>
      <c r="BA14" s="594" t="s">
        <v>311</v>
      </c>
      <c r="BB14" s="595"/>
      <c r="BC14" s="594" t="s">
        <v>311</v>
      </c>
      <c r="BD14" s="595"/>
      <c r="BE14" s="594" t="s">
        <v>311</v>
      </c>
      <c r="BF14" s="595"/>
      <c r="BG14" s="594" t="s">
        <v>311</v>
      </c>
      <c r="BH14" s="595"/>
      <c r="BI14" s="594" t="s">
        <v>311</v>
      </c>
      <c r="BJ14" s="595"/>
      <c r="BK14" s="594" t="s">
        <v>311</v>
      </c>
      <c r="BL14" s="595"/>
      <c r="BM14" s="594" t="s">
        <v>311</v>
      </c>
      <c r="BN14" s="595"/>
      <c r="BO14" s="594" t="s">
        <v>311</v>
      </c>
      <c r="BP14" s="595"/>
      <c r="BQ14" s="594" t="s">
        <v>311</v>
      </c>
      <c r="BR14" s="595"/>
      <c r="BS14" s="594" t="s">
        <v>311</v>
      </c>
      <c r="BT14" s="595"/>
      <c r="BU14" s="594" t="s">
        <v>311</v>
      </c>
      <c r="BV14" s="595"/>
      <c r="BW14" s="594" t="s">
        <v>311</v>
      </c>
      <c r="BX14" s="595"/>
      <c r="BY14" s="594" t="s">
        <v>311</v>
      </c>
      <c r="BZ14" s="595"/>
      <c r="CA14" s="594" t="s">
        <v>311</v>
      </c>
      <c r="CB14" s="595"/>
      <c r="CC14" s="594" t="s">
        <v>311</v>
      </c>
      <c r="CD14" s="595"/>
      <c r="CE14" s="594" t="s">
        <v>311</v>
      </c>
      <c r="CF14" s="595"/>
      <c r="CG14" s="594" t="s">
        <v>311</v>
      </c>
      <c r="CH14" s="595"/>
      <c r="CI14" s="594" t="s">
        <v>311</v>
      </c>
      <c r="CJ14" s="595"/>
      <c r="CK14" s="594" t="s">
        <v>311</v>
      </c>
      <c r="CL14" s="595"/>
      <c r="CM14" s="594" t="s">
        <v>311</v>
      </c>
      <c r="CN14" s="595"/>
      <c r="CO14" s="594" t="s">
        <v>311</v>
      </c>
      <c r="CP14" s="595"/>
      <c r="CQ14" s="594" t="s">
        <v>311</v>
      </c>
      <c r="CR14" s="595"/>
      <c r="CS14" s="594" t="s">
        <v>311</v>
      </c>
      <c r="CT14" s="595"/>
      <c r="CU14" s="594" t="s">
        <v>311</v>
      </c>
      <c r="CV14" s="595"/>
      <c r="CW14" s="594" t="s">
        <v>311</v>
      </c>
      <c r="CX14" s="595"/>
      <c r="CY14" s="594" t="s">
        <v>311</v>
      </c>
      <c r="CZ14" s="595"/>
      <c r="DA14" s="594" t="s">
        <v>311</v>
      </c>
      <c r="DB14" s="595"/>
      <c r="DC14" s="594" t="s">
        <v>311</v>
      </c>
      <c r="DD14" s="595"/>
      <c r="DE14" s="594" t="s">
        <v>311</v>
      </c>
      <c r="DF14" s="595"/>
      <c r="DG14" s="594" t="s">
        <v>311</v>
      </c>
      <c r="DH14" s="595"/>
      <c r="DI14" s="594" t="s">
        <v>311</v>
      </c>
      <c r="DJ14" s="595"/>
      <c r="DK14" s="594" t="s">
        <v>311</v>
      </c>
      <c r="DL14" s="595"/>
      <c r="DM14" s="594" t="s">
        <v>311</v>
      </c>
      <c r="DN14" s="595"/>
      <c r="DO14" s="594" t="s">
        <v>311</v>
      </c>
      <c r="DP14" s="595"/>
      <c r="DQ14" s="594" t="s">
        <v>311</v>
      </c>
      <c r="DR14" s="595"/>
      <c r="DS14" s="594" t="s">
        <v>311</v>
      </c>
      <c r="DT14" s="595"/>
      <c r="DU14" s="594" t="s">
        <v>311</v>
      </c>
      <c r="DV14" s="595"/>
      <c r="DW14" s="594" t="s">
        <v>311</v>
      </c>
      <c r="DX14" s="595"/>
      <c r="DY14" s="594" t="s">
        <v>311</v>
      </c>
      <c r="DZ14" s="595"/>
      <c r="EA14" s="594" t="s">
        <v>311</v>
      </c>
      <c r="EB14" s="595"/>
      <c r="EC14" s="594" t="s">
        <v>311</v>
      </c>
      <c r="ED14" s="595"/>
      <c r="EE14" s="594" t="s">
        <v>311</v>
      </c>
      <c r="EF14" s="595"/>
      <c r="EG14" s="594" t="s">
        <v>311</v>
      </c>
      <c r="EH14" s="595"/>
      <c r="EI14" s="594" t="s">
        <v>311</v>
      </c>
      <c r="EJ14" s="595"/>
      <c r="EK14" s="594" t="s">
        <v>311</v>
      </c>
      <c r="EL14" s="595"/>
      <c r="EM14" s="594" t="s">
        <v>311</v>
      </c>
      <c r="EN14" s="595"/>
      <c r="EO14" s="594" t="s">
        <v>311</v>
      </c>
      <c r="EP14" s="595"/>
      <c r="EQ14" s="594" t="s">
        <v>311</v>
      </c>
      <c r="ER14" s="595"/>
      <c r="ES14" s="594" t="s">
        <v>311</v>
      </c>
      <c r="ET14" s="595"/>
      <c r="EU14" s="594" t="s">
        <v>311</v>
      </c>
      <c r="EV14" s="595"/>
      <c r="EW14" s="594" t="s">
        <v>311</v>
      </c>
      <c r="EX14" s="595"/>
      <c r="EY14" s="594" t="s">
        <v>311</v>
      </c>
      <c r="EZ14" s="595"/>
      <c r="FA14" s="594" t="s">
        <v>311</v>
      </c>
      <c r="FB14" s="595"/>
      <c r="FC14" s="594" t="s">
        <v>311</v>
      </c>
      <c r="FD14" s="595"/>
      <c r="FE14" s="594" t="s">
        <v>311</v>
      </c>
      <c r="FF14" s="595"/>
      <c r="FG14" s="594" t="s">
        <v>311</v>
      </c>
      <c r="FH14" s="595"/>
      <c r="FI14" s="594" t="s">
        <v>311</v>
      </c>
      <c r="FJ14" s="595"/>
      <c r="FK14" s="594" t="s">
        <v>311</v>
      </c>
      <c r="FL14" s="595"/>
      <c r="FM14" s="594" t="s">
        <v>311</v>
      </c>
      <c r="FN14" s="595"/>
      <c r="FO14" s="594" t="s">
        <v>311</v>
      </c>
      <c r="FP14" s="595"/>
      <c r="FQ14" s="594" t="s">
        <v>311</v>
      </c>
      <c r="FR14" s="595"/>
      <c r="FS14" s="594" t="s">
        <v>311</v>
      </c>
      <c r="FT14" s="595"/>
      <c r="FU14" s="594" t="s">
        <v>311</v>
      </c>
      <c r="FV14" s="595"/>
      <c r="FW14" s="594" t="s">
        <v>311</v>
      </c>
      <c r="FX14" s="595"/>
      <c r="FY14" s="594" t="s">
        <v>311</v>
      </c>
      <c r="FZ14" s="595"/>
      <c r="GA14" s="594" t="s">
        <v>311</v>
      </c>
      <c r="GB14" s="595"/>
      <c r="GC14" s="594" t="s">
        <v>311</v>
      </c>
      <c r="GD14" s="595"/>
      <c r="GE14" s="594" t="s">
        <v>311</v>
      </c>
      <c r="GF14" s="595"/>
      <c r="GG14" s="594" t="s">
        <v>311</v>
      </c>
      <c r="GH14" s="595"/>
      <c r="GI14" s="594" t="s">
        <v>311</v>
      </c>
      <c r="GJ14" s="595"/>
      <c r="GK14" s="594" t="s">
        <v>311</v>
      </c>
      <c r="GL14" s="595"/>
      <c r="GM14" s="594" t="s">
        <v>311</v>
      </c>
      <c r="GN14" s="595"/>
      <c r="GO14" s="594" t="s">
        <v>311</v>
      </c>
      <c r="GP14" s="595"/>
      <c r="GQ14" s="594" t="s">
        <v>311</v>
      </c>
      <c r="GR14" s="595"/>
      <c r="GS14" s="594" t="s">
        <v>311</v>
      </c>
      <c r="GT14" s="595"/>
      <c r="GU14" s="594" t="s">
        <v>311</v>
      </c>
      <c r="GV14" s="595"/>
      <c r="GW14" s="594" t="s">
        <v>311</v>
      </c>
      <c r="GX14" s="595"/>
      <c r="GY14" s="594" t="s">
        <v>311</v>
      </c>
      <c r="GZ14" s="595"/>
      <c r="HA14" s="594" t="s">
        <v>311</v>
      </c>
      <c r="HB14" s="595"/>
      <c r="HC14" s="594" t="s">
        <v>311</v>
      </c>
      <c r="HD14" s="595"/>
      <c r="HE14" s="594" t="s">
        <v>311</v>
      </c>
      <c r="HF14" s="595"/>
      <c r="HG14" s="594" t="s">
        <v>311</v>
      </c>
      <c r="HH14" s="595"/>
      <c r="HI14" s="594" t="s">
        <v>311</v>
      </c>
      <c r="HJ14" s="595"/>
      <c r="HK14" s="594" t="s">
        <v>311</v>
      </c>
      <c r="HL14" s="595"/>
      <c r="HM14" s="594" t="s">
        <v>311</v>
      </c>
      <c r="HN14" s="595"/>
      <c r="HO14" s="594" t="s">
        <v>311</v>
      </c>
      <c r="HP14" s="595"/>
      <c r="HQ14" s="594" t="s">
        <v>311</v>
      </c>
      <c r="HR14" s="595"/>
      <c r="HS14" s="594" t="s">
        <v>311</v>
      </c>
      <c r="HT14" s="595"/>
      <c r="HU14" s="594" t="s">
        <v>311</v>
      </c>
      <c r="HV14" s="595"/>
      <c r="HW14" s="594" t="s">
        <v>311</v>
      </c>
      <c r="HX14" s="595"/>
      <c r="HY14" s="594" t="s">
        <v>311</v>
      </c>
      <c r="HZ14" s="595"/>
      <c r="IA14" s="594" t="s">
        <v>311</v>
      </c>
      <c r="IB14" s="595"/>
      <c r="IC14" s="594" t="s">
        <v>311</v>
      </c>
      <c r="ID14" s="595"/>
      <c r="IE14" s="594" t="s">
        <v>311</v>
      </c>
      <c r="IF14" s="595"/>
      <c r="IG14" s="594" t="s">
        <v>311</v>
      </c>
      <c r="IH14" s="595"/>
      <c r="II14" s="594" t="s">
        <v>311</v>
      </c>
      <c r="IJ14" s="595"/>
      <c r="IK14" s="594" t="s">
        <v>311</v>
      </c>
      <c r="IL14" s="595"/>
      <c r="IM14" s="594" t="s">
        <v>311</v>
      </c>
      <c r="IN14" s="595"/>
      <c r="IO14" s="594" t="s">
        <v>311</v>
      </c>
      <c r="IP14" s="595"/>
      <c r="IQ14" s="594" t="s">
        <v>311</v>
      </c>
      <c r="IR14" s="595"/>
      <c r="IS14" s="594" t="s">
        <v>311</v>
      </c>
      <c r="IT14" s="595"/>
      <c r="IU14" s="594" t="s">
        <v>311</v>
      </c>
      <c r="IV14" s="595"/>
    </row>
    <row r="15" spans="1:7" ht="14.25">
      <c r="A15" s="610"/>
      <c r="B15" s="604" t="s">
        <v>372</v>
      </c>
      <c r="C15" s="604"/>
      <c r="D15" s="382" t="s">
        <v>14</v>
      </c>
      <c r="E15" s="601">
        <v>2022202142</v>
      </c>
      <c r="F15" s="601"/>
      <c r="G15" s="601"/>
    </row>
    <row r="16" spans="1:7" ht="15">
      <c r="A16" s="610"/>
      <c r="B16" s="602" t="s">
        <v>373</v>
      </c>
      <c r="C16" s="602"/>
      <c r="D16" s="382" t="s">
        <v>14</v>
      </c>
      <c r="E16" s="603" t="s">
        <v>570</v>
      </c>
      <c r="F16" s="603"/>
      <c r="G16" s="603"/>
    </row>
    <row r="17" spans="1:7" ht="14.25">
      <c r="A17" s="610"/>
      <c r="B17" s="616" t="s">
        <v>374</v>
      </c>
      <c r="C17" s="616"/>
      <c r="D17" s="382" t="s">
        <v>14</v>
      </c>
      <c r="E17" s="601">
        <v>805</v>
      </c>
      <c r="F17" s="601"/>
      <c r="G17" s="601"/>
    </row>
    <row r="18" spans="1:7" ht="15">
      <c r="A18" s="610"/>
      <c r="B18" s="602" t="s">
        <v>375</v>
      </c>
      <c r="C18" s="602"/>
      <c r="D18" s="382" t="s">
        <v>14</v>
      </c>
      <c r="E18" s="603" t="s">
        <v>571</v>
      </c>
      <c r="F18" s="603"/>
      <c r="G18" s="603"/>
    </row>
    <row r="19" spans="1:7" ht="15">
      <c r="A19" s="610"/>
      <c r="B19" s="604" t="s">
        <v>376</v>
      </c>
      <c r="C19" s="604"/>
      <c r="D19" s="382" t="s">
        <v>14</v>
      </c>
      <c r="E19" s="607" t="s">
        <v>561</v>
      </c>
      <c r="F19" s="607"/>
      <c r="G19" s="607"/>
    </row>
    <row r="20" spans="1:7" ht="15">
      <c r="A20" s="610"/>
      <c r="B20" s="602" t="s">
        <v>377</v>
      </c>
      <c r="C20" s="602"/>
      <c r="D20" s="382" t="s">
        <v>14</v>
      </c>
      <c r="E20" s="607" t="s">
        <v>264</v>
      </c>
      <c r="F20" s="607"/>
      <c r="G20" s="607"/>
    </row>
    <row r="21" spans="1:9" ht="15">
      <c r="A21" s="482"/>
      <c r="B21" s="602" t="s">
        <v>381</v>
      </c>
      <c r="C21" s="602"/>
      <c r="D21" s="382"/>
      <c r="E21" s="389">
        <v>31</v>
      </c>
      <c r="F21" s="389" t="s">
        <v>525</v>
      </c>
      <c r="G21" s="389">
        <v>2011</v>
      </c>
      <c r="I21" s="563"/>
    </row>
    <row r="22" spans="1:7" ht="15">
      <c r="A22" s="391"/>
      <c r="B22" s="600" t="s">
        <v>383</v>
      </c>
      <c r="C22" s="600"/>
      <c r="D22" s="382" t="s">
        <v>14</v>
      </c>
      <c r="E22" s="606" t="s">
        <v>384</v>
      </c>
      <c r="F22" s="606"/>
      <c r="G22" s="606"/>
    </row>
    <row r="23" spans="1:7" ht="15">
      <c r="A23" s="391"/>
      <c r="B23" s="600" t="s">
        <v>385</v>
      </c>
      <c r="C23" s="600"/>
      <c r="D23" s="382"/>
      <c r="E23" s="386">
        <v>28</v>
      </c>
      <c r="F23" s="483" t="s">
        <v>526</v>
      </c>
      <c r="G23" s="386">
        <v>2002</v>
      </c>
    </row>
    <row r="24" spans="1:7" ht="15">
      <c r="A24" s="391"/>
      <c r="B24" s="600" t="s">
        <v>563</v>
      </c>
      <c r="C24" s="600"/>
      <c r="D24" s="382"/>
      <c r="E24" s="383">
        <v>21</v>
      </c>
      <c r="F24" s="483" t="s">
        <v>556</v>
      </c>
      <c r="G24" s="385">
        <v>2009</v>
      </c>
    </row>
    <row r="25" spans="1:7" s="563" customFormat="1" ht="15">
      <c r="A25" s="584"/>
      <c r="B25" s="587" t="s">
        <v>565</v>
      </c>
      <c r="C25" s="589">
        <f>M79</f>
        <v>40046</v>
      </c>
      <c r="D25" s="585"/>
      <c r="E25" s="566">
        <v>10</v>
      </c>
      <c r="F25" s="586"/>
      <c r="G25" s="588"/>
    </row>
    <row r="26" spans="1:7" ht="15">
      <c r="A26" s="391"/>
      <c r="B26" s="600" t="s">
        <v>564</v>
      </c>
      <c r="C26" s="600"/>
      <c r="D26" s="382" t="s">
        <v>14</v>
      </c>
      <c r="E26" s="566">
        <v>12</v>
      </c>
      <c r="F26" s="483"/>
      <c r="G26" s="567"/>
    </row>
    <row r="27" spans="1:7" ht="14.25" customHeight="1">
      <c r="A27" s="391"/>
      <c r="B27" s="390"/>
      <c r="C27" s="388" t="s">
        <v>560</v>
      </c>
      <c r="D27" s="382" t="s">
        <v>14</v>
      </c>
      <c r="E27" s="387">
        <v>28</v>
      </c>
      <c r="F27" s="387" t="s">
        <v>526</v>
      </c>
      <c r="G27" s="387">
        <v>2010</v>
      </c>
    </row>
    <row r="28" ht="12.75" hidden="1"/>
    <row r="29" ht="2.25" customHeight="1" hidden="1"/>
    <row r="30" spans="3:5" ht="12.75" hidden="1">
      <c r="C30" t="s">
        <v>393</v>
      </c>
      <c r="E30" t="e">
        <f>IF(E105&lt;8,E105+12,E105)</f>
        <v>#REF!</v>
      </c>
    </row>
    <row r="31" spans="3:9" ht="12.75" hidden="1">
      <c r="C31" t="s">
        <v>394</v>
      </c>
      <c r="E31" s="393" t="e">
        <f>IF(E26=#REF!,0,E115)</f>
        <v>#REF!</v>
      </c>
      <c r="I31">
        <v>31</v>
      </c>
    </row>
    <row r="32" spans="3:5" ht="12.75" hidden="1">
      <c r="C32" t="s">
        <v>395</v>
      </c>
      <c r="E32">
        <v>39</v>
      </c>
    </row>
    <row r="33" spans="5:6" ht="12.75" hidden="1">
      <c r="E33" s="394" t="e">
        <f>IF(E106=1,#REF!,E22)</f>
        <v>#REF!</v>
      </c>
      <c r="F33" s="394" t="e">
        <f>#REF!</f>
        <v>#REF!</v>
      </c>
    </row>
    <row r="34" spans="3:7" ht="12.75" hidden="1">
      <c r="C34" t="s">
        <v>396</v>
      </c>
      <c r="E34" s="395" t="e">
        <f>#REF!</f>
        <v>#REF!</v>
      </c>
      <c r="F34" s="605" t="e">
        <f>VLOOKUP(#REF!,S31:AC114,11,TRUE)</f>
        <v>#REF!</v>
      </c>
      <c r="G34" s="605"/>
    </row>
    <row r="35" spans="3:9" ht="12.75" hidden="1">
      <c r="C35" t="s">
        <v>397</v>
      </c>
      <c r="E35" s="395" t="e">
        <f>VLOOKUP(E34,S31:T114,2,TRUE)</f>
        <v>#REF!</v>
      </c>
      <c r="F35" s="605" t="e">
        <f>VLOOKUP(F34,S31:T114,2,TRUE)</f>
        <v>#REF!</v>
      </c>
      <c r="G35" s="605"/>
      <c r="I35" s="563">
        <f>DATE(G27,MONTH(F27&amp;1),E27)</f>
        <v>40206</v>
      </c>
    </row>
    <row r="36" spans="3:7" ht="12.75" hidden="1">
      <c r="C36" t="s">
        <v>398</v>
      </c>
      <c r="E36" s="395" t="e">
        <f>VLOOKUP(E34,S31:U113,3,TRUE)</f>
        <v>#REF!</v>
      </c>
      <c r="F36" s="605" t="e">
        <f>VLOOKUP(F34,S31:U113,3,TRUE)</f>
        <v>#REF!</v>
      </c>
      <c r="G36" s="605"/>
    </row>
    <row r="37" spans="3:7" ht="12.75" hidden="1">
      <c r="C37" t="s">
        <v>399</v>
      </c>
      <c r="E37" s="395" t="e">
        <f>IF(MAX(AL40,VLOOKUP(E34,S31:AA114,5,TRUE))&lt;VLOOKUP(E111,AG31:AL37,6,TRUE),VLOOKUP(E111,AG31:AL37,6,TRUE),MAX(AL40,VLOOKUP(E34,S31:AA114,5,TRUE)))</f>
        <v>#REF!</v>
      </c>
      <c r="F37" s="605" t="e">
        <f>IF(MAX(AL40,VLOOKUP(F34,S31:AA114,5,TRUE))&lt;VLOOKUP(E111,AG31:AL37,6,TRUE),VLOOKUP(E111,AG31:AL37,6,TRUE),MAX(AL40,VLOOKUP(F34,S31:AA114,5,TRUE)))</f>
        <v>#REF!</v>
      </c>
      <c r="G37" s="605"/>
    </row>
    <row r="38" spans="3:5" ht="12.75" hidden="1">
      <c r="C38" t="s">
        <v>400</v>
      </c>
      <c r="E38" s="396">
        <v>40209</v>
      </c>
    </row>
    <row r="39" spans="3:5" ht="12.75" hidden="1">
      <c r="C39" t="s">
        <v>401</v>
      </c>
      <c r="E39" s="396">
        <v>40237</v>
      </c>
    </row>
    <row r="40" spans="3:9" ht="12.75" hidden="1">
      <c r="C40" s="397">
        <v>40269</v>
      </c>
      <c r="E40" s="396" t="e">
        <f>E114</f>
        <v>#REF!</v>
      </c>
      <c r="I40" s="37" t="s">
        <v>549</v>
      </c>
    </row>
    <row r="41" ht="12.75" hidden="1">
      <c r="E41" s="398" t="e">
        <f>E114+1</f>
        <v>#REF!</v>
      </c>
    </row>
    <row r="42" ht="12.75" hidden="1">
      <c r="C42" t="s">
        <v>402</v>
      </c>
    </row>
    <row r="43" spans="3:9" ht="12.75" hidden="1">
      <c r="C43" t="s">
        <v>403</v>
      </c>
      <c r="D43" s="395">
        <v>0</v>
      </c>
      <c r="E43" s="399" t="e">
        <f>IF(E108=2,IF(E105=7,N33,IF(R35=2,IF(AND(E106=1,E117&lt;N34),N33,N34),N33)),IF(E105=7,O40,IF(Q42=2,O41,O40)))</f>
        <v>#REF!</v>
      </c>
      <c r="F43" s="395">
        <v>1</v>
      </c>
      <c r="I43">
        <v>10</v>
      </c>
    </row>
    <row r="44" spans="4:6" ht="12.75" hidden="1">
      <c r="D44" s="395"/>
      <c r="E44" s="399" t="e">
        <f>IF(AND(K35=0,E105=7),E43,IF(E43=39630,VLOOKUP(E30,AM31:AO42,2,TRUE),VLOOKUP(E43,AP31:AR55,2,TRUE)))</f>
        <v>#REF!</v>
      </c>
      <c r="F44" s="395">
        <v>2</v>
      </c>
    </row>
    <row r="45" spans="4:12" ht="12.75" hidden="1">
      <c r="D45" s="395"/>
      <c r="E45" s="399" t="e">
        <f>VLOOKUP(E44,AP31:AQ55,2,TRUE)</f>
        <v>#REF!</v>
      </c>
      <c r="F45" s="395"/>
      <c r="L45">
        <v>4</v>
      </c>
    </row>
    <row r="46" spans="4:10" ht="12.75" hidden="1">
      <c r="D46" s="395"/>
      <c r="E46" s="399" t="e">
        <f>VLOOKUP(E45,AQ31:AR55,2,TRUE)</f>
        <v>#REF!</v>
      </c>
      <c r="F46" s="395"/>
      <c r="G46" t="s">
        <v>526</v>
      </c>
      <c r="I46">
        <v>1</v>
      </c>
      <c r="J46">
        <v>2009</v>
      </c>
    </row>
    <row r="47" spans="4:10" ht="8.25" customHeight="1" hidden="1">
      <c r="D47" s="395"/>
      <c r="E47" s="399" t="e">
        <f>VLOOKUP(E46,AQ31:AR55,2,TRUE)</f>
        <v>#REF!</v>
      </c>
      <c r="F47" s="395"/>
      <c r="G47" s="395" t="s">
        <v>551</v>
      </c>
      <c r="I47">
        <v>2</v>
      </c>
      <c r="J47">
        <v>2010</v>
      </c>
    </row>
    <row r="48" spans="6:9" ht="12.75" hidden="1">
      <c r="F48" s="395"/>
      <c r="G48" t="s">
        <v>552</v>
      </c>
      <c r="I48">
        <v>3</v>
      </c>
    </row>
    <row r="49" spans="3:9" ht="12.75" hidden="1">
      <c r="C49" t="s">
        <v>404</v>
      </c>
      <c r="F49" s="395"/>
      <c r="G49" s="395" t="s">
        <v>553</v>
      </c>
      <c r="I49">
        <v>4</v>
      </c>
    </row>
    <row r="50" spans="3:9" ht="12.75" hidden="1">
      <c r="C50" s="399" t="e">
        <f>IF(MAX(IF(AND(E116+1461*2&gt;Q47,E116+1461*2&lt;=Q48),E116+1461*2,0),IF(AND(E116+1461*4&gt;Q47,E116+1461*4&lt;=Q48),E116+1461*4,0),IF(AND(E116+1461*6&gt;Q47,E116+1461*6&lt;=Q48),E116+1461*6,0))=0," ",MAX(IF(AND(E116+1461*2&gt;Q47,E116+1461*2&lt;=Q48),E116+1461*2,0),IF(AND(E116+1461*4&gt;Q47,E116+1461*4&lt;=Q48),E116+1461*4,0),IF(AND(E116+1461*6&gt;Q47,E116+1461*6&lt;=Q48),E116+1461*6,0)))</f>
        <v>#REF!</v>
      </c>
      <c r="D50" s="395" t="e">
        <f>IF(C50=" ",0,1)</f>
        <v>#REF!</v>
      </c>
      <c r="E50" s="399" t="e">
        <f>MIN(C50,C51,C52)</f>
        <v>#REF!</v>
      </c>
      <c r="F50" s="395"/>
      <c r="G50" t="s">
        <v>431</v>
      </c>
      <c r="I50">
        <v>5</v>
      </c>
    </row>
    <row r="51" spans="3:9" ht="12.75" hidden="1">
      <c r="C51" s="399" t="e">
        <f>E44</f>
        <v>#REF!</v>
      </c>
      <c r="D51" s="395"/>
      <c r="E51" s="399" t="e">
        <f>MAX(IF(C50=E52,0,C50),IF(C51=E52,0,C51),IF(C52=E52,0,C52))</f>
        <v>#REF!</v>
      </c>
      <c r="F51" s="395"/>
      <c r="G51" s="395" t="s">
        <v>554</v>
      </c>
      <c r="I51">
        <v>6</v>
      </c>
    </row>
    <row r="52" spans="3:9" ht="12.75" hidden="1">
      <c r="C52" s="399" t="e">
        <f>E45</f>
        <v>#REF!</v>
      </c>
      <c r="D52" s="395"/>
      <c r="E52" s="399" t="e">
        <f>MAX(C50,C51,C52)</f>
        <v>#REF!</v>
      </c>
      <c r="F52" s="395"/>
      <c r="G52" t="s">
        <v>555</v>
      </c>
      <c r="I52">
        <v>7</v>
      </c>
    </row>
    <row r="53" spans="6:9" ht="12.75" hidden="1">
      <c r="F53" s="395"/>
      <c r="G53" s="395" t="s">
        <v>556</v>
      </c>
      <c r="I53">
        <v>8</v>
      </c>
    </row>
    <row r="54" spans="3:9" ht="12.75" hidden="1">
      <c r="C54" t="s">
        <v>405</v>
      </c>
      <c r="D54" t="e">
        <f>IF(E106=1,9,0)</f>
        <v>#REF!</v>
      </c>
      <c r="F54" s="395"/>
      <c r="G54" t="s">
        <v>557</v>
      </c>
      <c r="I54">
        <v>9</v>
      </c>
    </row>
    <row r="55" spans="3:9" ht="12.75" hidden="1">
      <c r="C55" s="396" t="e">
        <f>IF(E106=1,E117," ")</f>
        <v>#REF!</v>
      </c>
      <c r="D55" t="e">
        <f>E107</f>
        <v>#REF!</v>
      </c>
      <c r="E55" s="396" t="e">
        <f>MIN(C55:C57)</f>
        <v>#REF!</v>
      </c>
      <c r="F55" s="395"/>
      <c r="G55" s="395" t="s">
        <v>525</v>
      </c>
      <c r="I55">
        <v>10</v>
      </c>
    </row>
    <row r="56" spans="3:9" ht="12.75" hidden="1">
      <c r="C56" s="396" t="e">
        <f>IF(C55&gt;E44,E44,IF(OR(E107=2,G60&lt;K59),VLOOKUP(C55,AP31:AQ55,2,TRUE),E44))</f>
        <v>#REF!</v>
      </c>
      <c r="E56" s="396" t="e">
        <f>MAX(IF(C55=E57,0,C55),IF(C56=E57,0,C56),IF(C57=E57,0,C57))</f>
        <v>#REF!</v>
      </c>
      <c r="F56" s="395"/>
      <c r="G56" t="s">
        <v>558</v>
      </c>
      <c r="I56">
        <v>11</v>
      </c>
    </row>
    <row r="57" spans="3:9" ht="12.75" hidden="1">
      <c r="C57" s="396" t="e">
        <f>IF(C55&gt;E45,E45,IF(OR(E107=2,G60&lt;K59),IF(C56&gt;C55,VLOOKUP(C55,AP31:AR55,3,TRUE),VLOOKUP(C55,AP31:AR55,2,TRUE)),E45))</f>
        <v>#REF!</v>
      </c>
      <c r="E57" s="396" t="e">
        <f>MAX(C55:C57)</f>
        <v>#REF!</v>
      </c>
      <c r="F57" s="395"/>
      <c r="G57" s="395" t="s">
        <v>559</v>
      </c>
      <c r="I57">
        <v>12</v>
      </c>
    </row>
    <row r="58" spans="4:9" ht="12.75" hidden="1">
      <c r="D58" t="e">
        <f>D43+D50+D54</f>
        <v>#REF!</v>
      </c>
      <c r="F58" s="395"/>
      <c r="G58" s="395"/>
      <c r="I58">
        <v>13</v>
      </c>
    </row>
    <row r="59" spans="3:9" ht="12.75" hidden="1">
      <c r="C59" s="396" t="e">
        <f>C55</f>
        <v>#REF!</v>
      </c>
      <c r="E59" t="e">
        <f>VLOOKUP(C59,E43:L45,3,TRUE)</f>
        <v>#REF!</v>
      </c>
      <c r="F59" s="395"/>
      <c r="I59">
        <v>14</v>
      </c>
    </row>
    <row r="60" spans="6:9" ht="12.75" hidden="1">
      <c r="F60" s="395"/>
      <c r="G60">
        <v>2002</v>
      </c>
      <c r="I60">
        <v>15</v>
      </c>
    </row>
    <row r="61" spans="3:9" ht="12.75" hidden="1">
      <c r="C61" s="396" t="e">
        <f>IF(E106=1,E117," ")</f>
        <v>#REF!</v>
      </c>
      <c r="E61" s="396" t="e">
        <f>MIN(C61:C63)</f>
        <v>#REF!</v>
      </c>
      <c r="F61" s="395"/>
      <c r="G61">
        <v>2003</v>
      </c>
      <c r="I61">
        <v>16</v>
      </c>
    </row>
    <row r="62" spans="3:9" ht="12.75" hidden="1">
      <c r="C62" s="396" t="e">
        <f>IF(C61&gt;E44,E44,IF(E107=2,VLOOKUP(C61,AP31:AQ55,2,TRUE),E44))</f>
        <v>#REF!</v>
      </c>
      <c r="E62" s="396" t="e">
        <f>MAX(IF(C61=E63,0,C55),IF(C62=E63,0,C62),IF(C63=E63,0,C63))</f>
        <v>#REF!</v>
      </c>
      <c r="F62" s="395"/>
      <c r="I62">
        <v>17</v>
      </c>
    </row>
    <row r="63" spans="3:9" ht="12.75" hidden="1">
      <c r="C63" s="396" t="e">
        <f>IF(C55&gt;E45,E45,IF(E107=2,IF(C56&gt;C55,VLOOKUP(C55,AP31:AR55,3,TRUE),VLOOKUP(C55,AP31:AR55,2,TRUE)),E45))</f>
        <v>#REF!</v>
      </c>
      <c r="E63" s="396" t="e">
        <f>MAX(C61:C63)</f>
        <v>#REF!</v>
      </c>
      <c r="F63" s="395"/>
      <c r="G63">
        <v>2009</v>
      </c>
      <c r="I63">
        <v>18</v>
      </c>
    </row>
    <row r="64" spans="6:9" ht="12.75" hidden="1">
      <c r="F64" s="395"/>
      <c r="G64">
        <v>2010</v>
      </c>
      <c r="I64">
        <v>19</v>
      </c>
    </row>
    <row r="65" spans="6:9" ht="1.5" customHeight="1" hidden="1">
      <c r="F65" s="395"/>
      <c r="G65">
        <v>2011</v>
      </c>
      <c r="I65">
        <v>20</v>
      </c>
    </row>
    <row r="66" spans="6:9" ht="12.75" hidden="1">
      <c r="F66" s="395"/>
      <c r="I66">
        <v>21</v>
      </c>
    </row>
    <row r="67" spans="6:9" ht="12.75" hidden="1">
      <c r="F67" s="395"/>
      <c r="I67">
        <v>22</v>
      </c>
    </row>
    <row r="68" spans="5:9" ht="12.75" hidden="1">
      <c r="E68" t="e">
        <f>E110</f>
        <v>#REF!</v>
      </c>
      <c r="F68" s="395">
        <v>3</v>
      </c>
      <c r="I68">
        <v>23</v>
      </c>
    </row>
    <row r="69" spans="5:9" ht="12.75" hidden="1">
      <c r="E69" t="e">
        <f>F133</f>
        <v>#REF!</v>
      </c>
      <c r="F69" s="395">
        <v>4</v>
      </c>
      <c r="G69" t="e">
        <f>IF(F91=D74," ",F91)</f>
        <v>#REF!</v>
      </c>
      <c r="I69">
        <v>24</v>
      </c>
    </row>
    <row r="70" spans="5:9" ht="12.75" hidden="1">
      <c r="E70" t="e">
        <f>G111</f>
        <v>#REF!</v>
      </c>
      <c r="F70" s="395">
        <v>5</v>
      </c>
      <c r="G70" t="e">
        <f>IF(F92=D74," ",F92)</f>
        <v>#REF!</v>
      </c>
      <c r="I70">
        <v>25</v>
      </c>
    </row>
    <row r="71" spans="6:9" ht="12.75" hidden="1">
      <c r="F71" s="395">
        <v>6</v>
      </c>
      <c r="G71" t="e">
        <f>IF(F93=D74," ",F93)</f>
        <v>#REF!</v>
      </c>
      <c r="I71">
        <v>26</v>
      </c>
    </row>
    <row r="72" spans="6:9" ht="12.75" hidden="1">
      <c r="F72" s="395">
        <v>7</v>
      </c>
      <c r="I72">
        <v>27</v>
      </c>
    </row>
    <row r="73" spans="4:15" ht="12.75" hidden="1">
      <c r="D73" t="e">
        <f>MAX(E68:E70)</f>
        <v>#REF!</v>
      </c>
      <c r="E73" t="e">
        <f>VLOOKUP(D73,H66:I73,2,TRUE)</f>
        <v>#REF!</v>
      </c>
      <c r="F73" s="395">
        <v>8</v>
      </c>
      <c r="I73">
        <v>28</v>
      </c>
      <c r="M73" s="563">
        <f>DATE(G23,MONTH(F23&amp;1),E23)</f>
        <v>37284</v>
      </c>
      <c r="N73">
        <v>1</v>
      </c>
      <c r="O73" s="563">
        <f>M73-N73</f>
        <v>37283</v>
      </c>
    </row>
    <row r="74" spans="4:13" ht="12.75" hidden="1">
      <c r="D74" t="e">
        <f>MAX(F91:F93)</f>
        <v>#REF!</v>
      </c>
      <c r="E74" t="e">
        <f>VLOOKUP(D74,H66:I73,2,TRUE)</f>
        <v>#REF!</v>
      </c>
      <c r="F74" s="395">
        <v>9</v>
      </c>
      <c r="G74" t="e">
        <f>VLOOKUP(D73,O66:R72,4,TRUE)</f>
        <v>#REF!</v>
      </c>
      <c r="I74">
        <v>29</v>
      </c>
      <c r="M74" s="37">
        <v>96</v>
      </c>
    </row>
    <row r="75" spans="4:16" ht="12.75" hidden="1">
      <c r="D75" t="e">
        <f>MAX(G69:G71)</f>
        <v>#REF!</v>
      </c>
      <c r="E75" t="e">
        <f>VLOOKUP(D75,H66:I73,2,TRUE)</f>
        <v>#REF!</v>
      </c>
      <c r="F75" s="395">
        <v>10</v>
      </c>
      <c r="G75" t="e">
        <f>VLOOKUP(D74,O66:R72,4,TRUE)</f>
        <v>#REF!</v>
      </c>
      <c r="I75">
        <v>30</v>
      </c>
      <c r="L75" s="397">
        <v>40179</v>
      </c>
      <c r="M75" s="563">
        <f>EDATE(M73,M74)</f>
        <v>40206</v>
      </c>
      <c r="N75">
        <f>M75-L75</f>
        <v>27</v>
      </c>
      <c r="O75">
        <v>1</v>
      </c>
      <c r="P75" s="563">
        <f>M75-O75</f>
        <v>40205</v>
      </c>
    </row>
    <row r="76" spans="4:9" ht="12.75" hidden="1">
      <c r="D76" t="e">
        <f>IF(OR(D73=1,D74=1,D75=1),1,0)</f>
        <v>#REF!</v>
      </c>
      <c r="F76" s="395">
        <v>11</v>
      </c>
      <c r="G76" t="e">
        <f>VLOOKUP(D75,O66:R72,4,TRUE)</f>
        <v>#REF!</v>
      </c>
      <c r="I76">
        <v>31</v>
      </c>
    </row>
    <row r="77" ht="12.75" hidden="1"/>
    <row r="78" ht="12.75" hidden="1">
      <c r="E78" s="400">
        <f>'[3]Sheet1'!U316</f>
        <v>6505</v>
      </c>
    </row>
    <row r="79" spans="5:16" ht="12.75" hidden="1">
      <c r="E79" s="400">
        <f>'[3]Sheet1'!U317</f>
        <v>6505</v>
      </c>
      <c r="L79" s="563">
        <v>40026</v>
      </c>
      <c r="M79" s="563">
        <f>DATE(G24,MONTH(F24&amp;1),E24)</f>
        <v>40046</v>
      </c>
      <c r="N79">
        <v>1</v>
      </c>
      <c r="O79" s="563">
        <f>M79-N79</f>
        <v>40045</v>
      </c>
      <c r="P79">
        <f>M79-L79</f>
        <v>20</v>
      </c>
    </row>
    <row r="80" spans="5:13" ht="12.75" hidden="1">
      <c r="E80" s="400">
        <f>'[3]Sheet1'!U318</f>
        <v>6505</v>
      </c>
      <c r="M80" s="37"/>
    </row>
    <row r="81" spans="5:13" ht="12.75" hidden="1">
      <c r="E81" s="400">
        <f>'[3]Sheet1'!U319</f>
        <v>6505</v>
      </c>
      <c r="G81">
        <v>31</v>
      </c>
      <c r="M81" s="397"/>
    </row>
    <row r="82" ht="9" customHeight="1" hidden="1">
      <c r="E82" s="400">
        <f>'[3]Sheet1'!U320</f>
        <v>0</v>
      </c>
    </row>
    <row r="83" ht="12.75" hidden="1">
      <c r="E83" s="400">
        <f>'[3]Sheet1'!U321</f>
        <v>8813</v>
      </c>
    </row>
    <row r="84" spans="5:9" ht="12.75" hidden="1">
      <c r="E84" s="400">
        <f>'[3]Sheet1'!U322</f>
        <v>6505</v>
      </c>
      <c r="G84" s="37" t="s">
        <v>550</v>
      </c>
      <c r="I84">
        <f>MONTH(G84&amp;1)</f>
        <v>8</v>
      </c>
    </row>
    <row r="85" ht="12.75" hidden="1">
      <c r="E85" s="400">
        <f>'[3]Sheet1'!U323</f>
        <v>6505</v>
      </c>
    </row>
    <row r="86" ht="12.75" hidden="1">
      <c r="E86" s="400">
        <f>'[3]Sheet1'!U324</f>
        <v>6505</v>
      </c>
    </row>
    <row r="87" ht="12.75" hidden="1">
      <c r="E87" s="400">
        <f>'[3]Sheet1'!U325</f>
        <v>6505</v>
      </c>
    </row>
    <row r="88" ht="12.75" hidden="1">
      <c r="E88" s="400">
        <f>'[3]Sheet1'!U326</f>
        <v>6505</v>
      </c>
    </row>
    <row r="89" ht="12.75" hidden="1">
      <c r="E89" s="400">
        <f>'[3]Sheet1'!U327</f>
        <v>6675</v>
      </c>
    </row>
    <row r="90" ht="12.75" hidden="1">
      <c r="E90" s="400">
        <f>'[3]Sheet1'!U328</f>
        <v>6675</v>
      </c>
    </row>
    <row r="91" spans="5:7" ht="12.75" hidden="1">
      <c r="E91" s="400">
        <f>'[3]Sheet1'!U329</f>
        <v>6675</v>
      </c>
      <c r="F91" t="e">
        <f>IF(E68=D73," ",E68)</f>
        <v>#REF!</v>
      </c>
      <c r="G91">
        <v>12</v>
      </c>
    </row>
    <row r="92" spans="5:7" ht="12.75" hidden="1">
      <c r="E92" s="400">
        <f>'[3]Sheet1'!U330</f>
        <v>6675</v>
      </c>
      <c r="F92" t="e">
        <f>IF(E69=D73," ",E69)</f>
        <v>#REF!</v>
      </c>
      <c r="G92">
        <v>14.5</v>
      </c>
    </row>
    <row r="93" spans="5:7" ht="12.75" hidden="1">
      <c r="E93" s="400">
        <f>'[3]Sheet1'!U331</f>
        <v>6675</v>
      </c>
      <c r="F93" t="e">
        <f>IF(E70=D73," ",E70)</f>
        <v>#REF!</v>
      </c>
      <c r="G93">
        <v>20</v>
      </c>
    </row>
    <row r="94" ht="12.75" hidden="1">
      <c r="E94" s="400">
        <f>'[3]Sheet1'!U332</f>
        <v>6675</v>
      </c>
    </row>
    <row r="95" ht="12.75" hidden="1">
      <c r="E95" s="400">
        <f>'[3]Sheet1'!U333</f>
        <v>0</v>
      </c>
    </row>
    <row r="96" spans="5:7" ht="12.75" hidden="1">
      <c r="E96" s="400">
        <f>'[3]Sheet1'!U334</f>
        <v>0</v>
      </c>
      <c r="F96" t="e">
        <f>VLOOKUP(D73,O66:R72,3,TRUE)</f>
        <v>#REF!</v>
      </c>
      <c r="G96">
        <v>10</v>
      </c>
    </row>
    <row r="97" spans="5:7" ht="12.75" hidden="1">
      <c r="E97" s="400">
        <f>'[3]Sheet1'!U335</f>
        <v>0</v>
      </c>
      <c r="F97" t="e">
        <f>VLOOKUP(D74,O66:R72,3,TRUE)</f>
        <v>#REF!</v>
      </c>
      <c r="G97">
        <v>12.5</v>
      </c>
    </row>
    <row r="98" spans="6:7" ht="12.75" hidden="1">
      <c r="F98" t="e">
        <f>VLOOKUP(D75,O66:R72,3,TRUE)</f>
        <v>#REF!</v>
      </c>
      <c r="G98">
        <v>20</v>
      </c>
    </row>
    <row r="99" spans="3:5" ht="15" hidden="1">
      <c r="C99" t="s">
        <v>406</v>
      </c>
      <c r="E99" s="401">
        <f>IF(E9="Z.P.P.F.",2,1)</f>
        <v>2</v>
      </c>
    </row>
    <row r="100" spans="3:5" ht="15" hidden="1">
      <c r="C100" t="s">
        <v>407</v>
      </c>
      <c r="E100" s="402" t="e">
        <f>IF(#REF!="YES",1,0)</f>
        <v>#REF!</v>
      </c>
    </row>
    <row r="101" spans="5:63" ht="15" hidden="1">
      <c r="E101" s="392">
        <f>ROUNDDOWN(E15/10000000000,0)</f>
        <v>0</v>
      </c>
      <c r="F101" t="e">
        <f>VLOOKUP(E78,Q78:R81,2,TRUE)</f>
        <v>#N/A</v>
      </c>
      <c r="H101" s="401">
        <f>ROUNDDOWN((E15-E101*10000000000-F124*1000000000-G102*100000000)/10000000,0)</f>
        <v>2</v>
      </c>
      <c r="I101" s="401">
        <f>ROUNDDOWN((E15-E101*10000000000-F124*1000000000-G102*100000000-H101*10000000)/1000000,0)</f>
        <v>2</v>
      </c>
      <c r="J101" s="401">
        <f>ROUNDDOWN((E15-E101*10000000000-F124*1000000000-G102*100000000-H101*10000000-I101*1000000)/100000,0)</f>
        <v>2</v>
      </c>
      <c r="K101" s="401">
        <f>ROUNDDOWN((E15-E101*10000000000-F124*1000000000-G102*100000000-H101*10000000-I101*1000000-J101*100000)/10000,0)</f>
        <v>0</v>
      </c>
      <c r="L101" s="401">
        <f>ROUNDDOWN((E15-E101*10000000000-F124*1000000000-G102*100000000-H101*10000000-I101*1000000-J101*100000-K101*10000)/1000,0)</f>
        <v>2</v>
      </c>
      <c r="M101" s="401">
        <f>ROUNDDOWN((E15-E101*10000000000-F124*1000000000-G102*100000000-H101*10000000-I101*1000000-J101*100000-K101*10000-L101*1000)/100,0)</f>
        <v>1</v>
      </c>
      <c r="N101" s="401">
        <f>ROUNDDOWN((E15-E101*10000000000-F124*1000000000-G102*100000000-H101*10000000-I101*1000000-J101*100000-K101*10000-L101*1000-M101*100)/10,0)</f>
        <v>4</v>
      </c>
      <c r="O101" s="401">
        <f>ROUNDDOWN((E15-E101*10000000000-F124*1000000000-G102*100000000-H101*10000000-I101*1000000-J101*100000-K101*10000-L101*1000-M101*100-N101*10),0)</f>
        <v>2</v>
      </c>
      <c r="Q101" t="s">
        <v>433</v>
      </c>
      <c r="S101" s="169">
        <f>S100+700</f>
        <v>700</v>
      </c>
      <c r="T101" s="169">
        <f>ROUND(S101*42.39%,0)</f>
        <v>297</v>
      </c>
      <c r="U101" s="169">
        <f>ROUND(S101*E32%,0)</f>
        <v>273</v>
      </c>
      <c r="V101" s="169">
        <f>ROUND(S101+T101+U101,0)</f>
        <v>1270</v>
      </c>
      <c r="W101" s="169">
        <f>VLOOKUP(V101,Z31:AA114,2,TRUE)</f>
        <v>1110</v>
      </c>
      <c r="X101" s="497">
        <v>41760</v>
      </c>
      <c r="Y101" s="497">
        <v>71</v>
      </c>
      <c r="Z101" s="169">
        <f>Z100+1040</f>
        <v>1040</v>
      </c>
      <c r="AA101" s="169">
        <f>AA100+1110</f>
        <v>1110</v>
      </c>
      <c r="AB101" s="169">
        <v>45850</v>
      </c>
      <c r="AC101" s="169">
        <v>25600</v>
      </c>
      <c r="AD101" s="169">
        <v>26300</v>
      </c>
      <c r="AE101" s="169">
        <f>AE100+700</f>
        <v>700</v>
      </c>
      <c r="AF101" s="169">
        <v>71</v>
      </c>
      <c r="BE101" s="169">
        <v>71</v>
      </c>
      <c r="BF101" s="169" t="s">
        <v>529</v>
      </c>
      <c r="BH101" s="169">
        <f>BH100+1040</f>
        <v>1040</v>
      </c>
      <c r="BI101">
        <v>71</v>
      </c>
      <c r="BJ101" s="396">
        <v>40332</v>
      </c>
      <c r="BK101" s="397">
        <v>39700</v>
      </c>
    </row>
    <row r="102" spans="5:7" ht="15" hidden="1">
      <c r="E102" s="403" t="e">
        <f>IF(#REF!=O85,1,2)</f>
        <v>#REF!</v>
      </c>
      <c r="F102" t="e">
        <f>VLOOKUP(E79,Q78:R81,2,TRUE)</f>
        <v>#N/A</v>
      </c>
      <c r="G102" s="401">
        <f>ROUNDDOWN((E15-E101*10000000000-F124*1000000000)/100000000,0)</f>
        <v>0</v>
      </c>
    </row>
    <row r="103" spans="3:6" ht="15" hidden="1">
      <c r="C103" t="s">
        <v>408</v>
      </c>
      <c r="E103" s="404" t="e">
        <f>IF(OR(#REF!=N87,#REF!=N88),1,IF(#REF!=N89,2,IF(#REF!=N91,4,3)))</f>
        <v>#REF!</v>
      </c>
      <c r="F103" t="e">
        <f>VLOOKUP(E80,Q78:R81,2,TRUE)</f>
        <v>#N/A</v>
      </c>
    </row>
    <row r="104" spans="5:6" ht="15" hidden="1">
      <c r="E104" s="405" t="e">
        <f>IF(#REF!=P85,1,2)</f>
        <v>#REF!</v>
      </c>
      <c r="F104" t="e">
        <f>VLOOKUP(E81,Q78:R81,2,TRUE)</f>
        <v>#N/A</v>
      </c>
    </row>
    <row r="105" spans="5:6" ht="15" hidden="1">
      <c r="E105" s="404" t="e">
        <f>IF(OR(#REF!=Q87,#REF!=Q88,#REF!=Q89,#REF!=Q90,#REF!=Q91,#REF!=Q92),IF(OR(#REF!=Q87,#REF!=Q88,#REF!=Q89),IF(#REF!=Q87,1,IF(#REF!=Q88,2,3)),IF(#REF!=Q90,4,IF(#REF!=Q91,5,6))),IF(OR(#REF!=Q93,#REF!=Q94,#REF!=Q95),IF(#REF!=Q93,7,IF(#REF!=Q94,8,9)),IF(#REF!=Q96,10,IF(#REF!=Q97,11,12))))</f>
        <v>#REF!</v>
      </c>
      <c r="F105" t="e">
        <f>VLOOKUP(E82,Q78:R81,2,TRUE)</f>
        <v>#N/A</v>
      </c>
    </row>
    <row r="106" spans="5:6" ht="15" hidden="1">
      <c r="E106" s="401" t="e">
        <f>IF(#REF!=O85,1,2)</f>
        <v>#REF!</v>
      </c>
      <c r="F106" t="e">
        <f>VLOOKUP(E83,Q78:R81,2,TRUE)</f>
        <v>#N/A</v>
      </c>
    </row>
    <row r="107" spans="5:6" ht="15" hidden="1">
      <c r="E107" s="401" t="e">
        <f>IF(#REF!=O91,1,2)</f>
        <v>#REF!</v>
      </c>
      <c r="F107" t="e">
        <f>VLOOKUP(E84,Q78:R81,2,TRUE)</f>
        <v>#N/A</v>
      </c>
    </row>
    <row r="108" spans="5:6" ht="15" hidden="1">
      <c r="E108" s="404" t="e">
        <f>IF(#REF!=O85,1,2)</f>
        <v>#REF!</v>
      </c>
      <c r="F108" t="e">
        <f>VLOOKUP(E85,Q78:R81,2,TRUE)</f>
        <v>#N/A</v>
      </c>
    </row>
    <row r="109" spans="5:8" ht="15" hidden="1">
      <c r="E109" s="406">
        <f>ROUNDDOWN(E17/1000,0)</f>
        <v>0</v>
      </c>
      <c r="F109" t="e">
        <f>VLOOKUP(E86,Q78:R81,2,TRUE)</f>
        <v>#N/A</v>
      </c>
      <c r="H109" s="406">
        <f>ROUNDDOWN((E17-(E109*1000+F132*100+G110*10))/1,0)</f>
        <v>5</v>
      </c>
    </row>
    <row r="110" spans="3:7" ht="15" hidden="1">
      <c r="C110" t="s">
        <v>409</v>
      </c>
      <c r="E110" s="407" t="e">
        <f>IF(#REF!=P66,0,IF(#REF!=P67,1,IF(#REF!=P68,2,IF(#REF!=P69,3,IF(#REF!=P70,4,5)))))</f>
        <v>#REF!</v>
      </c>
      <c r="F110" t="e">
        <f>VLOOKUP(E87,Q78:R81,2,TRUE)</f>
        <v>#N/A</v>
      </c>
      <c r="G110" s="406">
        <f>ROUNDDOWN((E17-(E109*1000+F132*100))/10,0)</f>
        <v>0</v>
      </c>
    </row>
    <row r="111" spans="5:7" ht="15" hidden="1">
      <c r="E111" s="404" t="e">
        <f>IF(#REF!=AH31,AG31,IF(#REF!=AH32,AG32,IF(#REF!=AH33,AG33,IF(#REF!=AH34,AG34,IF(#REF!=AH35,AG35,IF(#REF!=AH36,AG36,AG37))))))</f>
        <v>#REF!</v>
      </c>
      <c r="F111" t="e">
        <f>VLOOKUP(E88,Q78:R81,2,TRUE)</f>
        <v>#N/A</v>
      </c>
      <c r="G111" s="404" t="e">
        <f>IF(#REF!=P66,0,IF(#REF!=P67,1,IF(#REF!=P68,2,IF(#REF!=P69,3,IF(#REF!=P70,4,5)))))</f>
        <v>#REF!</v>
      </c>
    </row>
    <row r="112" spans="5:6" ht="15" hidden="1">
      <c r="E112" s="401" t="e">
        <f>IF(#REF!=AH31,AG31,IF(#REF!=AH32,AG32,IF(#REF!=AH33,AG33,IF(#REF!=AH34,AG34,IF(#REF!=AH35,AG35,IF(#REF!=AH36,AG36,AG37))))))</f>
        <v>#REF!</v>
      </c>
      <c r="F112" t="e">
        <f>VLOOKUP(E89,Q78:R81,2,TRUE)</f>
        <v>#N/A</v>
      </c>
    </row>
    <row r="113" spans="5:6" ht="11.25" customHeight="1" hidden="1">
      <c r="E113" s="409" t="e">
        <f>DATE(#REF!,F136,#REF!)</f>
        <v>#REF!</v>
      </c>
      <c r="F113" t="e">
        <f>VLOOKUP(E90,Q78:R81,2,TRUE)</f>
        <v>#N/A</v>
      </c>
    </row>
    <row r="114" spans="3:6" ht="15" hidden="1">
      <c r="C114" t="s">
        <v>355</v>
      </c>
      <c r="E114" s="410" t="e">
        <f>DATE(#REF!,F137,#REF!)</f>
        <v>#REF!</v>
      </c>
      <c r="F114" t="e">
        <f>VLOOKUP(E91,Q78:R81,2,TRUE)</f>
        <v>#N/A</v>
      </c>
    </row>
    <row r="115" spans="3:6" ht="15" hidden="1">
      <c r="C115" t="s">
        <v>562</v>
      </c>
      <c r="E115" s="411" t="e">
        <f>DATE(#REF!,F138,#REF!)+0.01</f>
        <v>#REF!</v>
      </c>
      <c r="F115" t="e">
        <f>VLOOKUP(E92,Q78:R81,2,TRUE)</f>
        <v>#N/A</v>
      </c>
    </row>
    <row r="116" spans="5:6" ht="15" hidden="1">
      <c r="E116" s="411" t="e">
        <f>DATE(#REF!,F139,#REF!)+0.01</f>
        <v>#REF!</v>
      </c>
      <c r="F116" t="e">
        <f>VLOOKUP(E93,Q78:R81,2,TRUE)</f>
        <v>#N/A</v>
      </c>
    </row>
    <row r="117" spans="5:6" ht="15" hidden="1">
      <c r="E117" s="410">
        <f>DATE(G27,F140,E27)+0.01</f>
        <v>40540.01</v>
      </c>
      <c r="F117" t="e">
        <f>VLOOKUP(E94,Q78:R81,2,TRUE)</f>
        <v>#N/A</v>
      </c>
    </row>
    <row r="118" ht="12.75" hidden="1">
      <c r="F118" t="e">
        <f>VLOOKUP(E95,Q78:R81,2,TRUE)</f>
        <v>#N/A</v>
      </c>
    </row>
    <row r="119" ht="12.75" hidden="1">
      <c r="F119" t="e">
        <f>VLOOKUP(E96,Q78:R81,2,TRUE)</f>
        <v>#N/A</v>
      </c>
    </row>
    <row r="120" ht="12.75" hidden="1">
      <c r="F120" t="e">
        <f>VLOOKUP(E97,Q78:R81,2,TRUE)</f>
        <v>#N/A</v>
      </c>
    </row>
    <row r="121" ht="12.75" hidden="1">
      <c r="C121" t="s">
        <v>410</v>
      </c>
    </row>
    <row r="122" spans="3:5" ht="12.75" hidden="1">
      <c r="C122">
        <v>0</v>
      </c>
      <c r="E122">
        <v>0</v>
      </c>
    </row>
    <row r="123" spans="3:5" ht="12.75" hidden="1">
      <c r="C123" s="396" t="e">
        <f>E43</f>
        <v>#REF!</v>
      </c>
      <c r="E123">
        <f>G43</f>
        <v>0</v>
      </c>
    </row>
    <row r="124" spans="3:7" ht="15" hidden="1">
      <c r="C124" s="396" t="e">
        <f>VLOOKUP(D58,S121:Y123,2,TRUE)</f>
        <v>#REF!</v>
      </c>
      <c r="E124" t="e">
        <f>VLOOKUP(D58,S121:Y123,5,TRUE)</f>
        <v>#REF!</v>
      </c>
      <c r="F124" s="401">
        <f>ROUNDDOWN((E15-E101*10000000000)/1000000000,0)</f>
        <v>2</v>
      </c>
      <c r="G124" t="e">
        <f>CONCATENATE(#REF!,"  (",E22," on 1/7/08) ")</f>
        <v>#REF!</v>
      </c>
    </row>
    <row r="125" spans="3:5" ht="12.75" hidden="1">
      <c r="C125" s="396" t="e">
        <f>VLOOKUP(D58,S121:Y123,3,TRUE)</f>
        <v>#REF!</v>
      </c>
      <c r="E125" t="e">
        <f>VLOOKUP(D58,S121:Y123,6,TRUE)</f>
        <v>#REF!</v>
      </c>
    </row>
    <row r="126" spans="3:5" ht="12.75" hidden="1">
      <c r="C126" s="396" t="e">
        <f>VLOOKUP(D58,S121:Y123,4,TRUE)</f>
        <v>#REF!</v>
      </c>
      <c r="E126" t="e">
        <f>VLOOKUP(D58,S121:Y123,7,TRUE)</f>
        <v>#REF!</v>
      </c>
    </row>
    <row r="127" ht="12.75" hidden="1"/>
    <row r="128" spans="3:5" ht="12.75" hidden="1">
      <c r="C128">
        <v>0</v>
      </c>
      <c r="E128">
        <v>0</v>
      </c>
    </row>
    <row r="129" spans="3:5" ht="12.75" hidden="1">
      <c r="C129" s="396" t="e">
        <f>C123</f>
        <v>#REF!</v>
      </c>
      <c r="E129">
        <f>K43</f>
        <v>0</v>
      </c>
    </row>
    <row r="130" spans="3:5" ht="12.75" hidden="1">
      <c r="C130" s="396" t="e">
        <f>VLOOKUP(D58,S127:Y129,2,TRUE)</f>
        <v>#REF!</v>
      </c>
      <c r="E130" t="e">
        <f>VLOOKUP(D58,S127:Y129,5,TRUE)</f>
        <v>#REF!</v>
      </c>
    </row>
    <row r="131" spans="3:5" ht="12.75" hidden="1">
      <c r="C131" s="396" t="e">
        <f>VLOOKUP(D58,S127:Y129,3,TRUE)</f>
        <v>#REF!</v>
      </c>
      <c r="E131" t="e">
        <f>VLOOKUP(D58,S127:Y129,6,TRUE)</f>
        <v>#REF!</v>
      </c>
    </row>
    <row r="132" spans="3:6" ht="0.75" customHeight="1" hidden="1">
      <c r="C132" s="396" t="e">
        <f>VLOOKUP(D58,S127:Y129,4,TRUE)</f>
        <v>#REF!</v>
      </c>
      <c r="E132" t="e">
        <f>VLOOKUP(D58,S127:Y129,7,TRUE)</f>
        <v>#REF!</v>
      </c>
      <c r="F132" s="406">
        <f>ROUNDDOWN((E17-E109*1000)/100,0)</f>
        <v>8</v>
      </c>
    </row>
    <row r="133" spans="3:6" ht="15" hidden="1">
      <c r="C133" s="396"/>
      <c r="F133" s="408" t="e">
        <f>IF(#REF!=P66,0,IF(#REF!=P67,1,IF(#REF!=P68,2,IF(#REF!=P69,3,IF(#REF!=P70,4,5)))))</f>
        <v>#REF!</v>
      </c>
    </row>
    <row r="134" spans="3:6" ht="12.75" hidden="1">
      <c r="C134" s="396"/>
      <c r="F134" t="e">
        <f>VLOOKUP(E111,AG31:AM37,7,TRUE)</f>
        <v>#REF!</v>
      </c>
    </row>
    <row r="135" spans="3:5" ht="12.75" hidden="1">
      <c r="C135" s="396">
        <f>MAX(AL135:AL153)</f>
        <v>0</v>
      </c>
      <c r="E135">
        <f>VLOOKUP(C135,C120:E124,3,TRUE)</f>
        <v>0</v>
      </c>
    </row>
    <row r="136" spans="3:6" ht="12.75" hidden="1">
      <c r="C136" s="396">
        <f>MAX(AK135:AK153)</f>
        <v>0</v>
      </c>
      <c r="D136">
        <v>1</v>
      </c>
      <c r="E136">
        <f>VLOOKUP(C136,C120:E124,3,TRUE)</f>
        <v>0</v>
      </c>
      <c r="F136" t="e">
        <f>IF(OR(#REF!=Q87,#REF!=Q88,#REF!=Q89,#REF!=Q90,#REF!=Q91,#REF!=Q92),IF(OR(#REF!=Q87,#REF!=Q88,#REF!=Q89),IF(#REF!=Q87,1,IF(#REF!=Q88,2,3)),IF(#REF!=Q90,4,IF(#REF!=Q91,5,6))),IF(OR(#REF!=Q93,#REF!=Q94,#REF!=Q95),IF(#REF!=Q93,7,IF(#REF!=Q94,8,9)),IF(#REF!=Q96,10,IF(#REF!=Q97,11,12))))</f>
        <v>#REF!</v>
      </c>
    </row>
    <row r="137" spans="3:6" ht="12.75" hidden="1">
      <c r="C137" s="396">
        <f>MAX(AJ135:AJ153)</f>
        <v>0</v>
      </c>
      <c r="D137">
        <v>2</v>
      </c>
      <c r="E137">
        <f>VLOOKUP(C137,C121:E125,3,TRUE)</f>
        <v>0</v>
      </c>
      <c r="F137" t="e">
        <f>IF(OR(#REF!=Q87,#REF!=Q88,#REF!=Q89,#REF!=Q90,#REF!=Q91,#REF!=Q92),IF(OR(#REF!=Q87,#REF!=Q88,#REF!=Q89),IF(#REF!=Q87,1,IF(#REF!=Q88,2,3)),IF(#REF!=Q90,4,IF(#REF!=Q91,5,6))),IF(OR(#REF!=Q93,#REF!=Q94,#REF!=Q95),IF(#REF!=Q93,7,IF(#REF!=Q94,8,9)),IF(#REF!=Q96,10,IF(#REF!=Q97,11,12))))</f>
        <v>#REF!</v>
      </c>
    </row>
    <row r="138" spans="3:6" ht="12.75" hidden="1">
      <c r="C138" s="396">
        <f>MAX(AI135:AI153)</f>
        <v>0</v>
      </c>
      <c r="D138">
        <v>3</v>
      </c>
      <c r="E138">
        <f>VLOOKUP(C138,C122:E126,3,TRUE)</f>
        <v>0</v>
      </c>
      <c r="F138" t="e">
        <f>IF(OR(#REF!=Q87,#REF!=Q88,#REF!=Q89,#REF!=Q90,#REF!=Q91,#REF!=Q92),IF(OR(#REF!=Q87,#REF!=Q88,#REF!=Q89),IF(#REF!=Q87,1,IF(#REF!=Q88,2,3)),IF(#REF!=Q90,4,IF(#REF!=Q91,5,6))),IF(OR(#REF!=Q93,#REF!=Q94,#REF!=Q95),IF(#REF!=Q93,7,IF(#REF!=Q94,8,9)),IF(#REF!=Q96,10,IF(#REF!=Q97,11,12))))</f>
        <v>#REF!</v>
      </c>
    </row>
    <row r="139" spans="3:6" ht="12.75" hidden="1">
      <c r="C139" s="396">
        <f>MAX(AH135:AH153)</f>
        <v>0</v>
      </c>
      <c r="D139">
        <v>4</v>
      </c>
      <c r="E139">
        <f>VLOOKUP(C139,C122:E126,3,TRUE)</f>
        <v>0</v>
      </c>
      <c r="F139" t="e">
        <f>IF(OR(#REF!=Q87,#REF!=Q88,#REF!=Q89,#REF!=Q90,#REF!=Q91,#REF!=Q92),IF(OR(#REF!=Q87,#REF!=Q88,#REF!=Q89),IF(#REF!=Q87,1,IF(#REF!=Q88,2,3)),IF(#REF!=Q90,4,IF(#REF!=Q91,5,6))),IF(OR(#REF!=Q93,#REF!=Q94,#REF!=Q95),IF(#REF!=Q93,7,IF(#REF!=Q94,8,9)),IF(#REF!=Q96,10,IF(#REF!=Q97,11,12))))</f>
        <v>#REF!</v>
      </c>
    </row>
    <row r="140" spans="3:6" ht="12.75" hidden="1">
      <c r="C140" s="396">
        <f>MAX(AG135:AG153)</f>
        <v>0</v>
      </c>
      <c r="D140">
        <v>5</v>
      </c>
      <c r="E140">
        <f>VLOOKUP(C140,C122:E126,3,TRUE)</f>
        <v>0</v>
      </c>
      <c r="F140">
        <f>IF(OR(F27=Q87,F27=Q88,F27=Q89,F27=Q90,F27=Q91,F27=Q92),IF(OR(F27=Q87,F27=Q88,F27=Q89),IF(F27=Q87,1,IF(F27=Q88,2,3)),IF(F27=Q90,4,IF(F27=Q91,5,6))),IF(OR(F27=Q93,F27=Q94,F27=Q95),IF(F27=Q93,7,IF(F27=Q94,8,9)),IF(F27=Q96,10,IF(F27=Q97,11,12))))</f>
        <v>12</v>
      </c>
    </row>
    <row r="141" spans="3:6" ht="12.75" hidden="1">
      <c r="C141" s="396">
        <f>MAX(AF135:AF153)</f>
        <v>0</v>
      </c>
      <c r="D141">
        <v>6</v>
      </c>
      <c r="E141">
        <f>VLOOKUP(C141,C122:E126,3,TRUE)</f>
        <v>0</v>
      </c>
      <c r="F141" t="e">
        <f>IF(#REF!="YES",#REF!,E22)</f>
        <v>#REF!</v>
      </c>
    </row>
    <row r="142" spans="3:5" ht="12.75" hidden="1">
      <c r="C142" s="396">
        <f>MAX(AE135:AE153)</f>
        <v>0</v>
      </c>
      <c r="D142">
        <v>7</v>
      </c>
      <c r="E142">
        <f>VLOOKUP(C142,C122:E126,3,TRUE)</f>
        <v>0</v>
      </c>
    </row>
    <row r="143" spans="3:5" ht="12.75" hidden="1">
      <c r="C143" s="396">
        <f>MAX(AD135:AD153)</f>
        <v>0</v>
      </c>
      <c r="D143">
        <v>8</v>
      </c>
      <c r="E143">
        <f>VLOOKUP(C143,C122:E126,3,TRUE)</f>
        <v>0</v>
      </c>
    </row>
    <row r="144" spans="3:5" ht="12.75" hidden="1">
      <c r="C144" s="396">
        <f>MAX(AC135:AC153)</f>
        <v>0</v>
      </c>
      <c r="D144">
        <v>9</v>
      </c>
      <c r="E144">
        <f>VLOOKUP(C144,C122:E126,3,TRUE)</f>
        <v>0</v>
      </c>
    </row>
    <row r="145" spans="3:5" ht="12.75" hidden="1">
      <c r="C145" s="396">
        <f>MAX(AB135:AB153)</f>
        <v>0</v>
      </c>
      <c r="D145">
        <v>10</v>
      </c>
      <c r="E145">
        <f>VLOOKUP(C145,C122:E126,3,TRUE)</f>
        <v>0</v>
      </c>
    </row>
    <row r="146" spans="3:5" ht="5.25" customHeight="1" hidden="1">
      <c r="C146" s="396">
        <f>MAX(AA135:AA153)</f>
        <v>0</v>
      </c>
      <c r="D146">
        <v>11</v>
      </c>
      <c r="E146">
        <f>VLOOKUP(C146,C122:E126,3,TRUE)</f>
        <v>0</v>
      </c>
    </row>
    <row r="147" spans="3:5" ht="12.75" hidden="1">
      <c r="C147" s="396">
        <f>MAX(Z135:Z153)</f>
        <v>0</v>
      </c>
      <c r="D147">
        <v>12</v>
      </c>
      <c r="E147">
        <f>VLOOKUP(C147,C122:E126,3,TRUE)</f>
        <v>0</v>
      </c>
    </row>
    <row r="148" spans="3:5" ht="12.75" hidden="1">
      <c r="C148" s="396">
        <f>MAX(Y135:Y153)</f>
        <v>0</v>
      </c>
      <c r="D148">
        <v>13</v>
      </c>
      <c r="E148">
        <f>VLOOKUP(C148,C122:E126,3,TRUE)</f>
        <v>0</v>
      </c>
    </row>
    <row r="149" spans="3:5" ht="12.75" hidden="1">
      <c r="C149" s="396">
        <f>MAX(X135:X153)</f>
        <v>0</v>
      </c>
      <c r="D149">
        <v>14</v>
      </c>
      <c r="E149">
        <f>VLOOKUP(C149,C122:E126,3,TRUE)</f>
        <v>0</v>
      </c>
    </row>
    <row r="150" spans="3:14" ht="12.75" hidden="1">
      <c r="C150" s="396">
        <f>MAX(W135:W153)</f>
        <v>0</v>
      </c>
      <c r="D150">
        <v>15</v>
      </c>
      <c r="E150">
        <f>VLOOKUP(C150,C122:E126,3,TRUE)</f>
        <v>0</v>
      </c>
      <c r="N150" s="560"/>
    </row>
    <row r="151" spans="3:9" ht="12.75" hidden="1">
      <c r="C151" s="396">
        <f>MAX(V135:V153)</f>
        <v>0</v>
      </c>
      <c r="D151">
        <v>16</v>
      </c>
      <c r="E151">
        <f>VLOOKUP(C151,C122:E126,3,TRUE)</f>
        <v>0</v>
      </c>
      <c r="F151">
        <f>E23</f>
        <v>28</v>
      </c>
      <c r="G151">
        <v>5</v>
      </c>
      <c r="I151">
        <f>G23</f>
        <v>2002</v>
      </c>
    </row>
    <row r="152" spans="3:5" ht="12.75" hidden="1">
      <c r="C152" s="396">
        <f>MAX(U135:U153)</f>
        <v>0</v>
      </c>
      <c r="D152">
        <v>17</v>
      </c>
      <c r="E152">
        <f>VLOOKUP(C152,C122:E126,3,TRUE)</f>
        <v>0</v>
      </c>
    </row>
    <row r="153" ht="12.75" hidden="1">
      <c r="C153" s="396"/>
    </row>
    <row r="154" spans="3:13" ht="12.75" hidden="1">
      <c r="C154" s="396"/>
      <c r="E154" s="397">
        <v>40210</v>
      </c>
      <c r="G154" s="412"/>
      <c r="J154" s="397"/>
      <c r="M154" s="562">
        <f>DATE(I151,MONTH(G151&amp;1),F151)</f>
        <v>37315</v>
      </c>
    </row>
    <row r="155" spans="3:10" ht="12.75" hidden="1">
      <c r="C155" s="396"/>
      <c r="E155" s="397">
        <v>40238</v>
      </c>
      <c r="J155" s="561">
        <f>DATE(G23,MONTH(F23&amp;1),E23)</f>
        <v>37284</v>
      </c>
    </row>
    <row r="156" spans="3:10" ht="12.75" hidden="1">
      <c r="C156" s="396"/>
      <c r="G156" s="148"/>
      <c r="J156" s="397"/>
    </row>
    <row r="157" ht="12.75" hidden="1">
      <c r="G157" s="148"/>
    </row>
    <row r="158" ht="12.75" hidden="1">
      <c r="C158" s="396"/>
    </row>
    <row r="159" spans="3:5" ht="12.75" hidden="1">
      <c r="C159" s="396">
        <v>0</v>
      </c>
      <c r="D159">
        <v>0</v>
      </c>
      <c r="E159">
        <v>0</v>
      </c>
    </row>
    <row r="160" spans="1:7" ht="12.75" hidden="1">
      <c r="A160">
        <v>1</v>
      </c>
      <c r="C160" s="396" t="e">
        <f>VLOOKUP(E43,C135:E152,1,TRUE)</f>
        <v>#REF!</v>
      </c>
      <c r="D160">
        <v>1</v>
      </c>
      <c r="E160">
        <f>VLOOKUP(T160,C136:E152,3,TRUE)</f>
        <v>0</v>
      </c>
      <c r="G160">
        <v>0</v>
      </c>
    </row>
    <row r="161" spans="1:5" ht="12.75" hidden="1">
      <c r="A161">
        <v>2</v>
      </c>
      <c r="C161" s="396" t="e">
        <f>VLOOKUP(C160,C135:F152,4,TRUE)</f>
        <v>#REF!</v>
      </c>
      <c r="D161">
        <f>IF(F183=C152-1,0,D160)</f>
        <v>1</v>
      </c>
      <c r="E161">
        <f>VLOOKUP(T161,C136:E152,3,TRUE)</f>
        <v>0</v>
      </c>
    </row>
    <row r="162" spans="1:5" ht="12.75" hidden="1">
      <c r="A162">
        <v>3</v>
      </c>
      <c r="C162" s="396" t="e">
        <f>VLOOKUP(C161,C135:F152,4,TRUE)</f>
        <v>#REF!</v>
      </c>
      <c r="D162">
        <f>IF(F184=C152-1,0,D161)</f>
        <v>1</v>
      </c>
      <c r="E162">
        <f>VLOOKUP(T162,C136:E152,3,TRUE)</f>
        <v>0</v>
      </c>
    </row>
    <row r="163" spans="1:5" ht="12.75" hidden="1">
      <c r="A163">
        <v>4</v>
      </c>
      <c r="C163" s="396" t="e">
        <f>VLOOKUP(C162,C135:F152,4,TRUE)</f>
        <v>#REF!</v>
      </c>
      <c r="D163">
        <f>IF(F185=C152-1,0,D162)</f>
        <v>1</v>
      </c>
      <c r="E163">
        <f>VLOOKUP(T163,C136:E152,3,TRUE)</f>
        <v>0</v>
      </c>
    </row>
    <row r="164" spans="1:10" ht="12.75" hidden="1">
      <c r="A164">
        <v>5</v>
      </c>
      <c r="C164" s="396" t="e">
        <f>VLOOKUP(C163,C135:F152,4,TRUE)</f>
        <v>#REF!</v>
      </c>
      <c r="D164">
        <f>IF(F186=C152-1,0,D163)</f>
        <v>1</v>
      </c>
      <c r="E164">
        <f>VLOOKUP(T164,C136:E152,3,TRUE)</f>
        <v>0</v>
      </c>
      <c r="G164">
        <v>12</v>
      </c>
      <c r="I164" t="s">
        <v>526</v>
      </c>
      <c r="J164">
        <v>2002</v>
      </c>
    </row>
    <row r="165" spans="1:5" ht="12.75" hidden="1">
      <c r="A165">
        <v>6</v>
      </c>
      <c r="C165" s="396" t="e">
        <f>VLOOKUP(C164,C135:F152,4,TRUE)</f>
        <v>#REF!</v>
      </c>
      <c r="D165">
        <f>IF(F187=C152-1,0,D164)</f>
        <v>1</v>
      </c>
      <c r="E165">
        <f>VLOOKUP(T165,C136:E152,3,TRUE)</f>
        <v>0</v>
      </c>
    </row>
    <row r="166" spans="1:5" ht="12.75" hidden="1">
      <c r="A166">
        <v>7</v>
      </c>
      <c r="C166" s="396" t="e">
        <f>VLOOKUP(C165,C135:F152,4,TRUE)</f>
        <v>#REF!</v>
      </c>
      <c r="D166">
        <f>IF(F188=C152-1,0,D165)</f>
        <v>1</v>
      </c>
      <c r="E166">
        <f>VLOOKUP(T166,C136:E152,3,TRUE)</f>
        <v>0</v>
      </c>
    </row>
    <row r="167" spans="1:9" ht="12.75" hidden="1">
      <c r="A167">
        <v>8</v>
      </c>
      <c r="C167" s="396" t="e">
        <f>VLOOKUP(C166,C135:F152,4,TRUE)</f>
        <v>#REF!</v>
      </c>
      <c r="D167">
        <f>IF(F189=C152-1,0,D166)</f>
        <v>1</v>
      </c>
      <c r="E167">
        <f>VLOOKUP(T167,C136:E152,3,TRUE)</f>
        <v>0</v>
      </c>
      <c r="I167" s="397" t="e">
        <f>DATE(J164,I164,G164)</f>
        <v>#VALUE!</v>
      </c>
    </row>
    <row r="168" spans="1:5" ht="12.75" hidden="1">
      <c r="A168">
        <v>9</v>
      </c>
      <c r="C168" s="396" t="e">
        <f>VLOOKUP(C167,C135:F152,4,TRUE)</f>
        <v>#REF!</v>
      </c>
      <c r="D168">
        <f>IF(F190=C152-1,0,D167)</f>
        <v>1</v>
      </c>
      <c r="E168">
        <f>VLOOKUP(T168,C136:E152,3,TRUE)</f>
        <v>0</v>
      </c>
    </row>
    <row r="169" spans="1:5" ht="12.75" hidden="1">
      <c r="A169">
        <v>10</v>
      </c>
      <c r="C169" s="396" t="e">
        <f>VLOOKUP(C168,C135:F152,4,TRUE)</f>
        <v>#REF!</v>
      </c>
      <c r="D169">
        <f>IF(F191=C152-1,0,D168)</f>
        <v>1</v>
      </c>
      <c r="E169">
        <f>VLOOKUP(T169,C136:E152,3,TRUE)</f>
        <v>0</v>
      </c>
    </row>
    <row r="170" spans="1:9" ht="12.75" hidden="1">
      <c r="A170">
        <v>11</v>
      </c>
      <c r="C170" s="396" t="e">
        <f>VLOOKUP(C169,C135:F152,4,TRUE)</f>
        <v>#REF!</v>
      </c>
      <c r="D170">
        <f>IF(F192=C152-1,0,D169)</f>
        <v>1</v>
      </c>
      <c r="E170">
        <f>VLOOKUP(T170,C136:E152,3,TRUE)</f>
        <v>0</v>
      </c>
      <c r="I170" s="397">
        <f>DATE(2002,28,1)</f>
        <v>38078</v>
      </c>
    </row>
    <row r="171" spans="1:5" ht="12.75" hidden="1">
      <c r="A171">
        <v>12</v>
      </c>
      <c r="C171" s="396" t="e">
        <f>VLOOKUP(C170,C135:F152,4,TRUE)</f>
        <v>#REF!</v>
      </c>
      <c r="D171">
        <f>IF(F193=C152-1,0,D170)</f>
        <v>1</v>
      </c>
      <c r="E171">
        <f>VLOOKUP(T171,C136:E152,3,TRUE)</f>
        <v>0</v>
      </c>
    </row>
    <row r="172" spans="1:5" ht="12.75" hidden="1">
      <c r="A172">
        <v>13</v>
      </c>
      <c r="C172" s="396" t="e">
        <f>VLOOKUP(C171,C135:F152,4,TRUE)</f>
        <v>#REF!</v>
      </c>
      <c r="D172">
        <f>IF(F194=C152-1,0,D171)</f>
        <v>1</v>
      </c>
      <c r="E172">
        <f>VLOOKUP(T172,C136:E152,3,TRUE)</f>
        <v>0</v>
      </c>
    </row>
    <row r="173" spans="1:5" ht="12.75" hidden="1">
      <c r="A173">
        <v>14</v>
      </c>
      <c r="C173" s="396" t="e">
        <f>VLOOKUP(C172,C135:F152,4,TRUE)</f>
        <v>#REF!</v>
      </c>
      <c r="D173">
        <f>IF(F195=C152-1,0,D172)</f>
        <v>1</v>
      </c>
      <c r="E173">
        <f>VLOOKUP(T173,C136:E152,3,TRUE)</f>
        <v>0</v>
      </c>
    </row>
    <row r="174" spans="1:5" ht="12.75" hidden="1">
      <c r="A174">
        <v>15</v>
      </c>
      <c r="C174" s="396" t="e">
        <f>VLOOKUP(C173,C135:F152,4,TRUE)</f>
        <v>#REF!</v>
      </c>
      <c r="D174">
        <f>IF(F196=C152-1,0,D173)</f>
        <v>1</v>
      </c>
      <c r="E174">
        <f>VLOOKUP(T174,C136:E152,3,TRUE)</f>
        <v>0</v>
      </c>
    </row>
    <row r="175" spans="1:5" ht="12.75" hidden="1">
      <c r="A175">
        <v>16</v>
      </c>
      <c r="C175" s="396" t="e">
        <f>VLOOKUP(C174,C135:F152,4,TRUE)</f>
        <v>#REF!</v>
      </c>
      <c r="D175">
        <f>IF(F197=C152-1,0,D174)</f>
        <v>1</v>
      </c>
      <c r="E175">
        <f>VLOOKUP(T175,C136:E152,3,TRUE)</f>
        <v>0</v>
      </c>
    </row>
    <row r="176" spans="1:6" ht="12.75" hidden="1">
      <c r="A176">
        <v>17</v>
      </c>
      <c r="C176" s="396" t="e">
        <f>VLOOKUP(C175,C135:F152,4,TRUE)</f>
        <v>#REF!</v>
      </c>
      <c r="D176">
        <f>IF(F198=C152-1,0,D175)</f>
        <v>1</v>
      </c>
      <c r="E176">
        <f>VLOOKUP(T176,C135:F152,3,TRUE)</f>
        <v>0</v>
      </c>
      <c r="F176" s="412"/>
    </row>
    <row r="177" spans="1:7" ht="5.25" customHeight="1" hidden="1">
      <c r="A177">
        <v>18</v>
      </c>
      <c r="C177" s="396" t="e">
        <f>VLOOKUP(C176,C135:F152,4,TRUE)</f>
        <v>#REF!</v>
      </c>
      <c r="D177">
        <f>IF(F199=C152-1,0,D176)</f>
        <v>1</v>
      </c>
      <c r="E177">
        <f>VLOOKUP(T177,C136:F153,3,TRUE)</f>
        <v>0</v>
      </c>
      <c r="G177" s="563" t="str">
        <f>CONCATENATE("MRAMURTY ",M79,"RAMNMA")</f>
        <v>MRAMURTY 40046RAMNMA</v>
      </c>
    </row>
    <row r="178" ht="12.75" hidden="1">
      <c r="F178" s="148"/>
    </row>
    <row r="179" ht="12.75" hidden="1">
      <c r="F179" s="148"/>
    </row>
    <row r="180" spans="1:5" ht="12.75" hidden="1">
      <c r="A180">
        <v>1</v>
      </c>
      <c r="C180" s="396" t="e">
        <f>IF(C160&lt;=E38,C160,0)</f>
        <v>#REF!</v>
      </c>
      <c r="D180" t="e">
        <f aca="true" t="shared" si="0" ref="D180:D196">IF(C180=0,0,D160)</f>
        <v>#REF!</v>
      </c>
      <c r="E180" t="e">
        <f aca="true" t="shared" si="1" ref="E180:E196">IF(C180=0,0,E160)</f>
        <v>#REF!</v>
      </c>
    </row>
    <row r="181" spans="1:5" ht="12.75" hidden="1">
      <c r="A181">
        <v>2</v>
      </c>
      <c r="C181" s="396" t="e">
        <f>IF(C161&lt;=E38,C161,0)</f>
        <v>#REF!</v>
      </c>
      <c r="D181" t="e">
        <f t="shared" si="0"/>
        <v>#REF!</v>
      </c>
      <c r="E181" t="e">
        <f t="shared" si="1"/>
        <v>#REF!</v>
      </c>
    </row>
    <row r="182" spans="1:6" ht="12.75" hidden="1">
      <c r="A182">
        <v>3</v>
      </c>
      <c r="C182" s="396" t="e">
        <f>IF(C162&lt;=E38,C162,0)</f>
        <v>#REF!</v>
      </c>
      <c r="D182" t="e">
        <f t="shared" si="0"/>
        <v>#REF!</v>
      </c>
      <c r="E182" t="e">
        <f t="shared" si="1"/>
        <v>#REF!</v>
      </c>
      <c r="F182">
        <v>0</v>
      </c>
    </row>
    <row r="183" spans="1:5" ht="12.75" hidden="1">
      <c r="A183">
        <v>4</v>
      </c>
      <c r="C183" s="396" t="e">
        <f>IF(C163&lt;=E38,C163,0)</f>
        <v>#REF!</v>
      </c>
      <c r="D183" t="e">
        <f t="shared" si="0"/>
        <v>#REF!</v>
      </c>
      <c r="E183" t="e">
        <f t="shared" si="1"/>
        <v>#REF!</v>
      </c>
    </row>
    <row r="184" spans="1:5" ht="12.75" hidden="1">
      <c r="A184">
        <v>5</v>
      </c>
      <c r="C184" s="396" t="e">
        <f>IF(C164&lt;=E38,C164,0)</f>
        <v>#REF!</v>
      </c>
      <c r="D184" t="e">
        <f t="shared" si="0"/>
        <v>#REF!</v>
      </c>
      <c r="E184" t="e">
        <f t="shared" si="1"/>
        <v>#REF!</v>
      </c>
    </row>
    <row r="185" spans="1:5" ht="12.75" hidden="1">
      <c r="A185">
        <v>6</v>
      </c>
      <c r="C185" s="396" t="e">
        <f>IF(C165&lt;=E38,C165,0)</f>
        <v>#REF!</v>
      </c>
      <c r="D185" t="e">
        <f t="shared" si="0"/>
        <v>#REF!</v>
      </c>
      <c r="E185" t="e">
        <f t="shared" si="1"/>
        <v>#REF!</v>
      </c>
    </row>
    <row r="186" spans="1:5" ht="12.75" hidden="1">
      <c r="A186">
        <v>7</v>
      </c>
      <c r="C186" s="396" t="e">
        <f>IF(C166&lt;=E38,C166,0)</f>
        <v>#REF!</v>
      </c>
      <c r="D186" t="e">
        <f t="shared" si="0"/>
        <v>#REF!</v>
      </c>
      <c r="E186" t="e">
        <f t="shared" si="1"/>
        <v>#REF!</v>
      </c>
    </row>
    <row r="187" spans="1:5" ht="12.75" hidden="1">
      <c r="A187">
        <v>8</v>
      </c>
      <c r="C187" s="396" t="e">
        <f>IF(C167&lt;=E38,C167,0)</f>
        <v>#REF!</v>
      </c>
      <c r="D187" t="e">
        <f t="shared" si="0"/>
        <v>#REF!</v>
      </c>
      <c r="E187" t="e">
        <f t="shared" si="1"/>
        <v>#REF!</v>
      </c>
    </row>
    <row r="188" spans="1:5" ht="12.75" hidden="1">
      <c r="A188">
        <v>9</v>
      </c>
      <c r="C188" s="396" t="e">
        <f>IF(C168&lt;=E38,C168,0)</f>
        <v>#REF!</v>
      </c>
      <c r="D188" t="e">
        <f t="shared" si="0"/>
        <v>#REF!</v>
      </c>
      <c r="E188" t="e">
        <f t="shared" si="1"/>
        <v>#REF!</v>
      </c>
    </row>
    <row r="189" spans="1:5" ht="12.75" hidden="1">
      <c r="A189">
        <v>10</v>
      </c>
      <c r="C189" s="396" t="e">
        <f>IF(C169&lt;=E38,C169,0)</f>
        <v>#REF!</v>
      </c>
      <c r="D189" t="e">
        <f t="shared" si="0"/>
        <v>#REF!</v>
      </c>
      <c r="E189" t="e">
        <f t="shared" si="1"/>
        <v>#REF!</v>
      </c>
    </row>
    <row r="190" spans="1:5" ht="12.75" hidden="1">
      <c r="A190">
        <v>11</v>
      </c>
      <c r="C190" s="396" t="e">
        <f>IF(C170&lt;=E38,C170,0)</f>
        <v>#REF!</v>
      </c>
      <c r="D190" t="e">
        <f t="shared" si="0"/>
        <v>#REF!</v>
      </c>
      <c r="E190" t="e">
        <f t="shared" si="1"/>
        <v>#REF!</v>
      </c>
    </row>
    <row r="191" spans="1:5" ht="12.75" hidden="1">
      <c r="A191">
        <v>12</v>
      </c>
      <c r="C191" s="396" t="e">
        <f>IF(C171&lt;=E38,C171,0)</f>
        <v>#REF!</v>
      </c>
      <c r="D191" t="e">
        <f t="shared" si="0"/>
        <v>#REF!</v>
      </c>
      <c r="E191" t="e">
        <f t="shared" si="1"/>
        <v>#REF!</v>
      </c>
    </row>
    <row r="192" spans="1:5" ht="12.75" hidden="1">
      <c r="A192">
        <v>13</v>
      </c>
      <c r="C192" s="396" t="e">
        <f>IF(C172&lt;=E38,C172,0)</f>
        <v>#REF!</v>
      </c>
      <c r="D192" t="e">
        <f t="shared" si="0"/>
        <v>#REF!</v>
      </c>
      <c r="E192" t="e">
        <f t="shared" si="1"/>
        <v>#REF!</v>
      </c>
    </row>
    <row r="193" spans="1:5" ht="12.75" hidden="1">
      <c r="A193">
        <v>14</v>
      </c>
      <c r="C193" s="396" t="e">
        <f>IF(C173&lt;=E38,C173,0)</f>
        <v>#REF!</v>
      </c>
      <c r="D193" t="e">
        <f t="shared" si="0"/>
        <v>#REF!</v>
      </c>
      <c r="E193" t="e">
        <f t="shared" si="1"/>
        <v>#REF!</v>
      </c>
    </row>
    <row r="194" spans="1:7" ht="12.75" hidden="1">
      <c r="A194">
        <v>15</v>
      </c>
      <c r="C194" s="396" t="e">
        <f>IF(C174&lt;=E38,C174,0)</f>
        <v>#REF!</v>
      </c>
      <c r="D194" t="e">
        <f t="shared" si="0"/>
        <v>#REF!</v>
      </c>
      <c r="E194" t="e">
        <f t="shared" si="1"/>
        <v>#REF!</v>
      </c>
      <c r="G194" s="37" t="s">
        <v>526</v>
      </c>
    </row>
    <row r="195" spans="1:5" ht="0.75" customHeight="1" hidden="1">
      <c r="A195">
        <v>16</v>
      </c>
      <c r="C195" s="396" t="e">
        <f>IF(C175&lt;=E38,C175,0)</f>
        <v>#REF!</v>
      </c>
      <c r="D195" t="e">
        <f t="shared" si="0"/>
        <v>#REF!</v>
      </c>
      <c r="E195" t="e">
        <f t="shared" si="1"/>
        <v>#REF!</v>
      </c>
    </row>
    <row r="196" spans="1:5" ht="12.75" hidden="1">
      <c r="A196">
        <v>17</v>
      </c>
      <c r="C196" s="396" t="e">
        <f>IF(C176&lt;=E38,C176,0)</f>
        <v>#REF!</v>
      </c>
      <c r="D196" t="e">
        <f t="shared" si="0"/>
        <v>#REF!</v>
      </c>
      <c r="E196" t="e">
        <f t="shared" si="1"/>
        <v>#REF!</v>
      </c>
    </row>
    <row r="197" ht="12.75" hidden="1"/>
    <row r="198" ht="12.75" hidden="1"/>
    <row r="199" ht="12.75" hidden="1">
      <c r="E199" s="396"/>
    </row>
    <row r="200" ht="12.75" hidden="1">
      <c r="E200" s="396"/>
    </row>
    <row r="201" spans="3:5" ht="12.75" hidden="1">
      <c r="C201" s="396">
        <f>E38+1</f>
        <v>40210</v>
      </c>
      <c r="D201">
        <v>1</v>
      </c>
      <c r="E201">
        <f>VLOOKUP(C201,C159:V176,3,TRUE)</f>
        <v>0</v>
      </c>
    </row>
    <row r="202" spans="3:5" ht="12.75" hidden="1">
      <c r="C202" s="396">
        <f>IF(F224=0,0,IF(F224&lt;E39,F224+1,0))</f>
        <v>0</v>
      </c>
      <c r="D202">
        <f>IF(C202=0,0,D201)</f>
        <v>0</v>
      </c>
      <c r="E202">
        <f>VLOOKUP(C202,C159:V176,3,TRUE)</f>
        <v>0</v>
      </c>
    </row>
    <row r="203" spans="3:5" ht="12.75" hidden="1">
      <c r="C203" s="396">
        <f>IF(F225=0,0,IF(F225&lt;E39,F225+1,0))</f>
        <v>0</v>
      </c>
      <c r="D203">
        <f aca="true" t="shared" si="2" ref="D203:D210">IF(C203=0,0,D202)</f>
        <v>0</v>
      </c>
      <c r="E203">
        <f>VLOOKUP(C203,C159:V176,3,TRUE)</f>
        <v>0</v>
      </c>
    </row>
    <row r="204" spans="3:5" ht="12.75" hidden="1">
      <c r="C204" s="396">
        <f>IF(F226=0,0,IF(F226&lt;E39,F226+1,0))</f>
        <v>0</v>
      </c>
      <c r="D204">
        <f t="shared" si="2"/>
        <v>0</v>
      </c>
      <c r="E204">
        <f>VLOOKUP(C204,C159:V176,3,TRUE)</f>
        <v>0</v>
      </c>
    </row>
    <row r="205" spans="3:5" ht="12.75" hidden="1">
      <c r="C205" s="396">
        <f>IF(F227=0,0,IF(F227&lt;E39,F227+1,0))</f>
        <v>0</v>
      </c>
      <c r="D205">
        <f t="shared" si="2"/>
        <v>0</v>
      </c>
      <c r="E205">
        <f>VLOOKUP(C205,C159:V176,3,TRUE)</f>
        <v>0</v>
      </c>
    </row>
    <row r="206" spans="3:10" ht="11.25" customHeight="1" hidden="1">
      <c r="C206" s="396">
        <f>IF(F228=0,0,IF(F228&lt;E39,F228+1,0))</f>
        <v>0</v>
      </c>
      <c r="D206">
        <f t="shared" si="2"/>
        <v>0</v>
      </c>
      <c r="E206">
        <f>VLOOKUP(C206,C159:V176,3,TRUE)</f>
        <v>0</v>
      </c>
      <c r="G206">
        <v>2010</v>
      </c>
      <c r="H206">
        <v>5</v>
      </c>
      <c r="I206">
        <v>5</v>
      </c>
      <c r="J206">
        <v>24</v>
      </c>
    </row>
    <row r="207" spans="3:5" ht="12.75" hidden="1">
      <c r="C207" s="396">
        <f>IF(F229=0,0,IF(F229&lt;E39,F229+1,0))</f>
        <v>0</v>
      </c>
      <c r="D207">
        <f t="shared" si="2"/>
        <v>0</v>
      </c>
      <c r="E207">
        <f>VLOOKUP(C207,C159:V176,3,TRUE)</f>
        <v>0</v>
      </c>
    </row>
    <row r="208" spans="3:5" ht="12.75" hidden="1">
      <c r="C208" s="396">
        <f>IF(F230=0,0,IF(F230&lt;E39,F230+1,0))</f>
        <v>0</v>
      </c>
      <c r="D208">
        <f t="shared" si="2"/>
        <v>0</v>
      </c>
      <c r="E208">
        <f>VLOOKUP(C208,C159:V176,3,TRUE)</f>
        <v>0</v>
      </c>
    </row>
    <row r="209" spans="3:5" ht="12.75" hidden="1">
      <c r="C209" s="396">
        <f>IF(F231=0,0,IF(F231&lt;E39,F231+1,0))</f>
        <v>0</v>
      </c>
      <c r="D209">
        <f t="shared" si="2"/>
        <v>0</v>
      </c>
      <c r="E209">
        <f>VLOOKUP(C209,C159:V176,3,TRUE)</f>
        <v>0</v>
      </c>
    </row>
    <row r="210" spans="3:10" ht="12.75" hidden="1">
      <c r="C210" s="396">
        <f>IF(F232=0,0,IF(F232&lt;E39,F232+1,0))</f>
        <v>0</v>
      </c>
      <c r="D210">
        <f t="shared" si="2"/>
        <v>0</v>
      </c>
      <c r="E210">
        <f>VLOOKUP(C210,C159:V176,3,TRUE)</f>
        <v>0</v>
      </c>
      <c r="J210" s="397">
        <f>DATE(2011,8,12)</f>
        <v>40767</v>
      </c>
    </row>
    <row r="211" spans="3:10" ht="12.75" hidden="1">
      <c r="C211" s="396"/>
      <c r="J211" s="397"/>
    </row>
    <row r="212" ht="12.75" hidden="1">
      <c r="C212" s="396"/>
    </row>
    <row r="213" spans="3:10" ht="12.75" hidden="1">
      <c r="C213" s="396">
        <f>E39+1</f>
        <v>40238</v>
      </c>
      <c r="D213" t="e">
        <f>IF(C213=C176,0,1)</f>
        <v>#REF!</v>
      </c>
      <c r="E213">
        <f>VLOOKUP(C213,C159:V176,3,TRUE)</f>
        <v>0</v>
      </c>
      <c r="J213" s="396"/>
    </row>
    <row r="214" spans="3:5" ht="12.75" hidden="1">
      <c r="C214" s="396">
        <f>IF(F236=0,0,IF(F236&lt;E40,F236+1,0))</f>
        <v>0</v>
      </c>
      <c r="D214" t="e">
        <f>IF(OR(C214=C176,C214=0),0,1)</f>
        <v>#REF!</v>
      </c>
      <c r="E214">
        <f>VLOOKUP(C214,C159:V176,3,TRUE)</f>
        <v>0</v>
      </c>
    </row>
    <row r="215" spans="3:5" ht="12.75" hidden="1">
      <c r="C215" s="396">
        <f>IF(F237=0,0,IF(F237&lt;E40,F237+1,0))</f>
        <v>0</v>
      </c>
      <c r="D215" t="e">
        <f>IF(OR(C215=C176,C215=0),0,1)</f>
        <v>#REF!</v>
      </c>
      <c r="E215">
        <f>VLOOKUP(C215,C159:V176,3,TRUE)</f>
        <v>0</v>
      </c>
    </row>
    <row r="216" spans="3:5" ht="12.75" hidden="1">
      <c r="C216" s="396">
        <f>IF(F238=0,0,IF(F238&lt;E40,F238+1,0))</f>
        <v>0</v>
      </c>
      <c r="D216" t="e">
        <f>IF(OR(C216=C176,C216=0),0,1)</f>
        <v>#REF!</v>
      </c>
      <c r="E216">
        <f>VLOOKUP(C216,C159:V176,3,TRUE)</f>
        <v>0</v>
      </c>
    </row>
    <row r="217" spans="3:5" ht="12.75" hidden="1">
      <c r="C217" s="396">
        <f>IF(F239=0,0,IF(F239&lt;E40,F239+1,0))</f>
        <v>0</v>
      </c>
      <c r="D217" t="e">
        <f>IF(OR(C217=C176,C217=0),0,1)</f>
        <v>#REF!</v>
      </c>
      <c r="E217">
        <f>VLOOKUP(C217,C159:V176,3,TRUE)</f>
        <v>0</v>
      </c>
    </row>
    <row r="218" spans="3:5" ht="6.75" customHeight="1" hidden="1">
      <c r="C218" s="396">
        <f>IF(F240=0,0,IF(F240&lt;E40,F240+1,0))</f>
        <v>0</v>
      </c>
      <c r="D218" t="e">
        <f>IF(OR(C218=C176,C218=0),0,1)</f>
        <v>#REF!</v>
      </c>
      <c r="E218">
        <f>VLOOKUP(C218,C159:V176,3,TRUE)</f>
        <v>0</v>
      </c>
    </row>
    <row r="219" spans="3:5" ht="12.75" hidden="1">
      <c r="C219" s="396">
        <f>IF(F241=0,0,IF(F241&lt;E40,F241+1,0))</f>
        <v>0</v>
      </c>
      <c r="D219" t="e">
        <f>IF(OR(C219=C176,C219=0),0,1)</f>
        <v>#REF!</v>
      </c>
      <c r="E219">
        <f>VLOOKUP(C219,C159:V176,3,TRUE)</f>
        <v>0</v>
      </c>
    </row>
    <row r="220" ht="12.75" hidden="1"/>
    <row r="221" ht="12.75" hidden="1">
      <c r="G221" s="413"/>
    </row>
    <row r="222" spans="2:5" ht="12.75" hidden="1">
      <c r="B222">
        <v>0</v>
      </c>
      <c r="C222">
        <v>0</v>
      </c>
      <c r="D222">
        <v>0</v>
      </c>
      <c r="E222">
        <v>0</v>
      </c>
    </row>
    <row r="223" spans="2:7" ht="12.75" hidden="1">
      <c r="B223">
        <v>1</v>
      </c>
      <c r="C223" s="396">
        <f>BE143</f>
        <v>0</v>
      </c>
      <c r="D223" s="400">
        <f>E223-C223+1</f>
        <v>1</v>
      </c>
      <c r="E223" s="396">
        <f>IF(C224=0,BA143,C224-1)</f>
        <v>0</v>
      </c>
      <c r="G223">
        <v>0</v>
      </c>
    </row>
    <row r="224" spans="2:7" ht="12.75" hidden="1">
      <c r="B224">
        <v>2</v>
      </c>
      <c r="C224" s="396">
        <f>BF144</f>
        <v>0</v>
      </c>
      <c r="D224" s="400">
        <f>IF(C224=0,0,E224-C224+1)</f>
        <v>0</v>
      </c>
      <c r="E224" s="396">
        <f aca="true" t="shared" si="3" ref="E224:E253">IF(C225=0,BA144,C225-1)</f>
        <v>0</v>
      </c>
      <c r="G224" t="e">
        <f>VLOOKUP(C223,AM43:AO47,3,TRUE)</f>
        <v>#N/A</v>
      </c>
    </row>
    <row r="225" spans="2:7" ht="12.75" hidden="1">
      <c r="B225">
        <v>3</v>
      </c>
      <c r="C225" s="396">
        <f>BG145</f>
        <v>0</v>
      </c>
      <c r="D225" s="400">
        <f aca="true" t="shared" si="4" ref="D225:D253">IF(C225=0,0,E225-C225+1)</f>
        <v>0</v>
      </c>
      <c r="E225" s="396">
        <f t="shared" si="3"/>
        <v>0</v>
      </c>
      <c r="G225" t="e">
        <f>VLOOKUP(C224,AM43:AO47,3,TRUE)</f>
        <v>#N/A</v>
      </c>
    </row>
    <row r="226" spans="2:7" ht="12.75" hidden="1">
      <c r="B226">
        <v>4</v>
      </c>
      <c r="C226" s="396">
        <f>BH146</f>
        <v>0</v>
      </c>
      <c r="D226" s="400">
        <f t="shared" si="4"/>
        <v>0</v>
      </c>
      <c r="E226" s="396">
        <f t="shared" si="3"/>
        <v>0</v>
      </c>
      <c r="G226" t="e">
        <f>VLOOKUP(C225,AM43:AO47,3,TRUE)</f>
        <v>#N/A</v>
      </c>
    </row>
    <row r="227" spans="2:7" ht="12.75" hidden="1">
      <c r="B227">
        <v>5</v>
      </c>
      <c r="C227" s="396">
        <f>BQ147</f>
        <v>0</v>
      </c>
      <c r="D227" s="400">
        <f t="shared" si="4"/>
        <v>0</v>
      </c>
      <c r="E227" s="396">
        <f t="shared" si="3"/>
        <v>0</v>
      </c>
      <c r="G227" t="e">
        <f>VLOOKUP(C226,AM43:AO47,3,TRUE)</f>
        <v>#N/A</v>
      </c>
    </row>
    <row r="228" spans="2:7" ht="12.75" hidden="1">
      <c r="B228">
        <v>6</v>
      </c>
      <c r="C228" s="396">
        <f>BR148</f>
        <v>0</v>
      </c>
      <c r="D228" s="400">
        <f t="shared" si="4"/>
        <v>0</v>
      </c>
      <c r="E228" s="396">
        <f t="shared" si="3"/>
        <v>0</v>
      </c>
      <c r="G228" t="e">
        <f>VLOOKUP(C227,AM43:AO47,3,TRUE)</f>
        <v>#N/A</v>
      </c>
    </row>
    <row r="229" spans="2:7" ht="12.75" hidden="1">
      <c r="B229">
        <v>7</v>
      </c>
      <c r="C229" s="396">
        <f>BS149</f>
        <v>0</v>
      </c>
      <c r="D229" s="400">
        <f t="shared" si="4"/>
        <v>0</v>
      </c>
      <c r="E229" s="396">
        <f t="shared" si="3"/>
        <v>0</v>
      </c>
      <c r="G229" t="e">
        <f>VLOOKUP(C228,AM43:AO47,3,TRUE)</f>
        <v>#N/A</v>
      </c>
    </row>
    <row r="230" spans="2:7" ht="10.5" customHeight="1" hidden="1">
      <c r="B230">
        <v>8</v>
      </c>
      <c r="C230" s="396">
        <f>BT150</f>
        <v>0</v>
      </c>
      <c r="D230" s="400">
        <f t="shared" si="4"/>
        <v>0</v>
      </c>
      <c r="E230" s="396">
        <f t="shared" si="3"/>
        <v>0</v>
      </c>
      <c r="G230" t="e">
        <f>VLOOKUP(C229,AM43:AO47,3,TRUE)</f>
        <v>#N/A</v>
      </c>
    </row>
    <row r="231" spans="2:7" ht="12.75" hidden="1">
      <c r="B231">
        <v>9</v>
      </c>
      <c r="C231" s="396">
        <f>BU151</f>
        <v>0</v>
      </c>
      <c r="D231" s="400">
        <f t="shared" si="4"/>
        <v>0</v>
      </c>
      <c r="E231" s="396">
        <f t="shared" si="3"/>
        <v>0</v>
      </c>
      <c r="G231" t="e">
        <f>VLOOKUP(C230,AM43:AO47,3,TRUE)</f>
        <v>#N/A</v>
      </c>
    </row>
    <row r="232" spans="2:7" ht="12.75" hidden="1">
      <c r="B232">
        <v>10</v>
      </c>
      <c r="C232" s="396">
        <f>BV152</f>
        <v>0</v>
      </c>
      <c r="D232" s="400">
        <f t="shared" si="4"/>
        <v>0</v>
      </c>
      <c r="E232" s="396">
        <f t="shared" si="3"/>
        <v>0</v>
      </c>
      <c r="G232" t="e">
        <f>VLOOKUP(C231,AM43:AO47,3,TRUE)</f>
        <v>#N/A</v>
      </c>
    </row>
    <row r="233" spans="2:7" ht="12.75" hidden="1">
      <c r="B233">
        <v>11</v>
      </c>
      <c r="C233" s="396">
        <f>BW153</f>
        <v>0</v>
      </c>
      <c r="D233" s="400">
        <f t="shared" si="4"/>
        <v>0</v>
      </c>
      <c r="E233" s="396">
        <f t="shared" si="3"/>
        <v>0</v>
      </c>
      <c r="G233" t="e">
        <f>VLOOKUP(C232,AM43:AO47,3,TRUE)</f>
        <v>#N/A</v>
      </c>
    </row>
    <row r="234" spans="2:7" ht="12.75" hidden="1">
      <c r="B234">
        <v>12</v>
      </c>
      <c r="C234" s="396">
        <f>BX154</f>
        <v>0</v>
      </c>
      <c r="D234" s="400">
        <f t="shared" si="4"/>
        <v>0</v>
      </c>
      <c r="E234" s="396">
        <f t="shared" si="3"/>
        <v>0</v>
      </c>
      <c r="G234" t="e">
        <f>VLOOKUP(C233,AM43:AO47,3,TRUE)</f>
        <v>#N/A</v>
      </c>
    </row>
    <row r="235" spans="2:7" ht="12.75" hidden="1">
      <c r="B235">
        <v>13</v>
      </c>
      <c r="C235" s="396">
        <f>BY155</f>
        <v>0</v>
      </c>
      <c r="D235" s="400">
        <f t="shared" si="4"/>
        <v>0</v>
      </c>
      <c r="E235" s="396">
        <f t="shared" si="3"/>
        <v>0</v>
      </c>
      <c r="G235" t="e">
        <f>VLOOKUP(C234,AM43:AO47,3,TRUE)</f>
        <v>#N/A</v>
      </c>
    </row>
    <row r="236" spans="2:7" ht="12.75" hidden="1">
      <c r="B236">
        <v>14</v>
      </c>
      <c r="C236" s="396">
        <f>BZ156</f>
        <v>0</v>
      </c>
      <c r="D236" s="400">
        <f t="shared" si="4"/>
        <v>0</v>
      </c>
      <c r="E236" s="396">
        <f t="shared" si="3"/>
        <v>0</v>
      </c>
      <c r="G236" t="e">
        <f>VLOOKUP(C235,AM43:AO47,3,TRUE)</f>
        <v>#N/A</v>
      </c>
    </row>
    <row r="237" spans="2:7" ht="12.75" hidden="1">
      <c r="B237">
        <v>15</v>
      </c>
      <c r="C237" s="396">
        <f>CA157</f>
        <v>0</v>
      </c>
      <c r="D237" s="400">
        <f t="shared" si="4"/>
        <v>0</v>
      </c>
      <c r="E237" s="396">
        <f t="shared" si="3"/>
        <v>0</v>
      </c>
      <c r="G237" t="e">
        <f>VLOOKUP(C236,AM43:AO47,3,TRUE)</f>
        <v>#N/A</v>
      </c>
    </row>
    <row r="238" spans="2:7" ht="12.75" hidden="1">
      <c r="B238">
        <v>16</v>
      </c>
      <c r="C238" s="396">
        <f>CB158</f>
        <v>0</v>
      </c>
      <c r="D238" s="400">
        <f t="shared" si="4"/>
        <v>0</v>
      </c>
      <c r="E238" s="396">
        <f t="shared" si="3"/>
        <v>0</v>
      </c>
      <c r="G238" t="e">
        <f>VLOOKUP(C237,AM43:AO47,3,TRUE)</f>
        <v>#N/A</v>
      </c>
    </row>
    <row r="239" spans="2:7" ht="12.75" hidden="1">
      <c r="B239">
        <v>17</v>
      </c>
      <c r="C239" s="396">
        <f>CC159</f>
        <v>0</v>
      </c>
      <c r="D239" s="400">
        <f t="shared" si="4"/>
        <v>0</v>
      </c>
      <c r="E239" s="396">
        <f t="shared" si="3"/>
        <v>0</v>
      </c>
      <c r="G239" t="e">
        <f>VLOOKUP(C238,AM43:AO47,3,TRUE)</f>
        <v>#N/A</v>
      </c>
    </row>
    <row r="240" spans="2:7" ht="12.75" hidden="1">
      <c r="B240">
        <v>18</v>
      </c>
      <c r="C240" s="396">
        <f>CD160</f>
        <v>0</v>
      </c>
      <c r="D240" s="400">
        <f t="shared" si="4"/>
        <v>0</v>
      </c>
      <c r="E240" s="396">
        <f t="shared" si="3"/>
        <v>0</v>
      </c>
      <c r="G240" t="e">
        <f>VLOOKUP(C239,AM43:AO47,3,TRUE)</f>
        <v>#N/A</v>
      </c>
    </row>
    <row r="241" spans="2:7" ht="12.75" hidden="1">
      <c r="B241">
        <v>19</v>
      </c>
      <c r="C241" s="396">
        <f>CE161</f>
        <v>0</v>
      </c>
      <c r="D241" s="400">
        <f t="shared" si="4"/>
        <v>0</v>
      </c>
      <c r="E241" s="396">
        <f t="shared" si="3"/>
        <v>0</v>
      </c>
      <c r="G241" t="e">
        <f>VLOOKUP(C240,AM43:AO47,3,TRUE)</f>
        <v>#N/A</v>
      </c>
    </row>
    <row r="242" spans="2:7" ht="12.75" hidden="1">
      <c r="B242">
        <v>20</v>
      </c>
      <c r="C242" s="396">
        <f>CF162</f>
        <v>0</v>
      </c>
      <c r="D242" s="400">
        <f t="shared" si="4"/>
        <v>0</v>
      </c>
      <c r="E242" s="396">
        <f t="shared" si="3"/>
        <v>0</v>
      </c>
      <c r="G242" t="e">
        <f>VLOOKUP(C241,AM43:AO47,3,TRUE)</f>
        <v>#N/A</v>
      </c>
    </row>
    <row r="243" spans="2:7" ht="12.75" hidden="1">
      <c r="B243">
        <v>21</v>
      </c>
      <c r="C243" s="396">
        <f>CG163</f>
        <v>0</v>
      </c>
      <c r="D243" s="400">
        <f t="shared" si="4"/>
        <v>0</v>
      </c>
      <c r="E243" s="396">
        <f t="shared" si="3"/>
        <v>0</v>
      </c>
      <c r="F243" s="413"/>
      <c r="G243" t="e">
        <f>VLOOKUP(C242,AM43:AO47,3,TRUE)</f>
        <v>#N/A</v>
      </c>
    </row>
    <row r="244" spans="2:7" ht="12.75" hidden="1">
      <c r="B244">
        <v>22</v>
      </c>
      <c r="C244" s="396">
        <f>CH164</f>
        <v>0</v>
      </c>
      <c r="D244" s="400">
        <f t="shared" si="4"/>
        <v>0</v>
      </c>
      <c r="E244" s="396">
        <f t="shared" si="3"/>
        <v>0</v>
      </c>
      <c r="G244" t="e">
        <f>VLOOKUP(C243,AM43:AO47,3,TRUE)</f>
        <v>#N/A</v>
      </c>
    </row>
    <row r="245" spans="2:7" ht="12.75" hidden="1">
      <c r="B245">
        <v>23</v>
      </c>
      <c r="C245" s="396">
        <f>CI165</f>
        <v>0</v>
      </c>
      <c r="D245" s="400">
        <f t="shared" si="4"/>
        <v>0</v>
      </c>
      <c r="E245" s="396">
        <f t="shared" si="3"/>
        <v>0</v>
      </c>
      <c r="F245">
        <v>0</v>
      </c>
      <c r="G245" t="e">
        <f>VLOOKUP(C244,AM43:AO47,3,TRUE)</f>
        <v>#N/A</v>
      </c>
    </row>
    <row r="246" spans="2:7" ht="12.75" hidden="1">
      <c r="B246">
        <v>24</v>
      </c>
      <c r="C246" s="396">
        <f>CJ166</f>
        <v>0</v>
      </c>
      <c r="D246" s="400">
        <f t="shared" si="4"/>
        <v>0</v>
      </c>
      <c r="E246" s="396">
        <f t="shared" si="3"/>
        <v>0</v>
      </c>
      <c r="F246">
        <f>VLOOKUP(C223,C136:E152,3,TRUE)</f>
        <v>0</v>
      </c>
      <c r="G246" t="e">
        <f>VLOOKUP(C245,AM43:AO47,3,TRUE)</f>
        <v>#N/A</v>
      </c>
    </row>
    <row r="247" spans="2:7" ht="12.75" hidden="1">
      <c r="B247">
        <v>25</v>
      </c>
      <c r="C247" s="396">
        <f>CK167</f>
        <v>0</v>
      </c>
      <c r="D247" s="400">
        <f t="shared" si="4"/>
        <v>0</v>
      </c>
      <c r="E247" s="396">
        <f t="shared" si="3"/>
        <v>0</v>
      </c>
      <c r="F247">
        <f>VLOOKUP(C224,C136:E152,3,TRUE)</f>
        <v>0</v>
      </c>
      <c r="G247" t="e">
        <f>VLOOKUP(C246,AM43:AO47,3,TRUE)</f>
        <v>#N/A</v>
      </c>
    </row>
    <row r="248" spans="2:7" ht="12.75" hidden="1">
      <c r="B248">
        <v>26</v>
      </c>
      <c r="C248" s="396">
        <f>CL168</f>
        <v>0</v>
      </c>
      <c r="D248" s="400">
        <f t="shared" si="4"/>
        <v>0</v>
      </c>
      <c r="E248" s="396">
        <f t="shared" si="3"/>
        <v>0</v>
      </c>
      <c r="F248">
        <f>VLOOKUP(C225,C136:E152,3,TRUE)</f>
        <v>0</v>
      </c>
      <c r="G248" t="e">
        <f>VLOOKUP(C247,AM43:AO47,3,TRUE)</f>
        <v>#N/A</v>
      </c>
    </row>
    <row r="249" spans="2:7" ht="12.75" hidden="1">
      <c r="B249">
        <v>27</v>
      </c>
      <c r="C249" s="396">
        <f>CM169</f>
        <v>0</v>
      </c>
      <c r="D249" s="400">
        <f t="shared" si="4"/>
        <v>0</v>
      </c>
      <c r="E249" s="396">
        <f t="shared" si="3"/>
        <v>0</v>
      </c>
      <c r="F249">
        <f>VLOOKUP(C226,C136:E152,3,TRUE)</f>
        <v>0</v>
      </c>
      <c r="G249" t="e">
        <f>VLOOKUP(C248,AM43:AO47,3,TRUE)</f>
        <v>#N/A</v>
      </c>
    </row>
    <row r="250" spans="2:7" ht="12.75" hidden="1">
      <c r="B250">
        <v>28</v>
      </c>
      <c r="C250" s="396">
        <f>CN170</f>
        <v>0</v>
      </c>
      <c r="D250" s="400">
        <f t="shared" si="4"/>
        <v>0</v>
      </c>
      <c r="E250" s="396">
        <f t="shared" si="3"/>
        <v>0</v>
      </c>
      <c r="F250">
        <f>VLOOKUP(C227,C136:E152,3,TRUE)</f>
        <v>0</v>
      </c>
      <c r="G250" t="e">
        <f>VLOOKUP(C249,AM43:AO47,3,TRUE)</f>
        <v>#N/A</v>
      </c>
    </row>
    <row r="251" spans="2:7" ht="12.75" hidden="1">
      <c r="B251">
        <v>29</v>
      </c>
      <c r="C251" s="396">
        <f>CO171</f>
        <v>0</v>
      </c>
      <c r="D251" s="400">
        <f t="shared" si="4"/>
        <v>0</v>
      </c>
      <c r="E251" s="396">
        <f t="shared" si="3"/>
        <v>0</v>
      </c>
      <c r="F251">
        <f>VLOOKUP(C228,C136:E152,3,TRUE)</f>
        <v>0</v>
      </c>
      <c r="G251" t="e">
        <f>VLOOKUP(C250,AM43:AO47,3,TRUE)</f>
        <v>#N/A</v>
      </c>
    </row>
    <row r="252" spans="2:7" ht="12.75" hidden="1">
      <c r="B252">
        <v>30</v>
      </c>
      <c r="C252" s="396">
        <f>CP172</f>
        <v>0</v>
      </c>
      <c r="D252" s="400">
        <f t="shared" si="4"/>
        <v>0</v>
      </c>
      <c r="E252" s="396">
        <f>IF(C253=0,BA172,C253-1)</f>
        <v>0</v>
      </c>
      <c r="F252">
        <f>VLOOKUP(C229,C136:E152,3,TRUE)</f>
        <v>0</v>
      </c>
      <c r="G252" t="e">
        <f>VLOOKUP(C251,AM43:AO47,3,TRUE)</f>
        <v>#N/A</v>
      </c>
    </row>
    <row r="253" spans="2:7" ht="12.75" hidden="1">
      <c r="B253">
        <v>31</v>
      </c>
      <c r="C253" s="396">
        <f>CQ173</f>
        <v>0</v>
      </c>
      <c r="D253" s="400">
        <f t="shared" si="4"/>
        <v>0</v>
      </c>
      <c r="E253" s="396">
        <f t="shared" si="3"/>
        <v>0</v>
      </c>
      <c r="F253">
        <f>VLOOKUP(C230,C136:E152,3,TRUE)</f>
        <v>0</v>
      </c>
      <c r="G253" t="e">
        <f>VLOOKUP(C252,AM43:AO47,3,TRUE)</f>
        <v>#N/A</v>
      </c>
    </row>
    <row r="254" spans="3:7" ht="12.75" hidden="1">
      <c r="C254" s="396">
        <v>0</v>
      </c>
      <c r="F254">
        <f>VLOOKUP(C231,C136:E152,3,TRUE)</f>
        <v>0</v>
      </c>
      <c r="G254" t="e">
        <f>VLOOKUP(C253,AM43:AO47,3,TRUE)</f>
        <v>#N/A</v>
      </c>
    </row>
    <row r="255" ht="12.75" hidden="1">
      <c r="F255">
        <f>VLOOKUP(C232,C136:E152,3,TRUE)</f>
        <v>0</v>
      </c>
    </row>
    <row r="256" spans="6:45" ht="12.75" hidden="1">
      <c r="F256">
        <f>VLOOKUP(C233,C136:E152,3,TRUE)</f>
        <v>0</v>
      </c>
      <c r="AQ256" s="563">
        <v>40892</v>
      </c>
      <c r="AR256">
        <v>1</v>
      </c>
      <c r="AS256" s="563">
        <f>AQ256-AR256</f>
        <v>40891</v>
      </c>
    </row>
    <row r="257" spans="2:6" ht="12.75" hidden="1">
      <c r="B257">
        <v>1</v>
      </c>
      <c r="C257" s="396">
        <f>IF(B223&lt;AC223,C223,0)</f>
        <v>0</v>
      </c>
      <c r="D257">
        <f>IF(B223&lt;AC223,D223,0)</f>
        <v>0</v>
      </c>
      <c r="E257" s="396">
        <f>IF(B223&lt;AC223,E223,0)</f>
        <v>0</v>
      </c>
      <c r="F257">
        <f>VLOOKUP(C234,C136:E152,3,TRUE)</f>
        <v>0</v>
      </c>
    </row>
    <row r="258" spans="2:7" ht="12.75" hidden="1">
      <c r="B258">
        <v>2</v>
      </c>
      <c r="C258" s="396">
        <f aca="true" t="shared" si="5" ref="C258:C287">IF(B224&lt;AC224,C224,0)</f>
        <v>0</v>
      </c>
      <c r="D258">
        <f aca="true" t="shared" si="6" ref="D258:D287">IF(B224&lt;AC224,D224,0)</f>
        <v>0</v>
      </c>
      <c r="E258" s="396">
        <f aca="true" t="shared" si="7" ref="E258:E287">IF(B224&lt;AC224,E224,0)</f>
        <v>0</v>
      </c>
      <c r="F258">
        <f>VLOOKUP(C235,C136:E152,3,TRUE)</f>
        <v>0</v>
      </c>
      <c r="G258">
        <f aca="true" t="shared" si="8" ref="G258:G288">IF(B223&lt;AC223,G224,0)</f>
        <v>0</v>
      </c>
    </row>
    <row r="259" spans="2:7" ht="12.75" hidden="1">
      <c r="B259">
        <v>3</v>
      </c>
      <c r="C259" s="396">
        <f t="shared" si="5"/>
        <v>0</v>
      </c>
      <c r="D259">
        <f t="shared" si="6"/>
        <v>0</v>
      </c>
      <c r="E259" s="396">
        <f t="shared" si="7"/>
        <v>0</v>
      </c>
      <c r="F259">
        <f>VLOOKUP(C236,C136:E152,3,TRUE)</f>
        <v>0</v>
      </c>
      <c r="G259">
        <f t="shared" si="8"/>
        <v>0</v>
      </c>
    </row>
    <row r="260" spans="2:7" ht="12.75" hidden="1">
      <c r="B260">
        <v>4</v>
      </c>
      <c r="C260" s="396">
        <f t="shared" si="5"/>
        <v>0</v>
      </c>
      <c r="D260">
        <f t="shared" si="6"/>
        <v>0</v>
      </c>
      <c r="E260" s="396">
        <f t="shared" si="7"/>
        <v>0</v>
      </c>
      <c r="F260">
        <f>VLOOKUP(C237,C136:E152,3,TRUE)</f>
        <v>0</v>
      </c>
      <c r="G260">
        <f t="shared" si="8"/>
        <v>0</v>
      </c>
    </row>
    <row r="261" spans="2:7" ht="12.75" hidden="1">
      <c r="B261">
        <v>5</v>
      </c>
      <c r="C261" s="396">
        <f t="shared" si="5"/>
        <v>0</v>
      </c>
      <c r="D261">
        <f t="shared" si="6"/>
        <v>0</v>
      </c>
      <c r="E261" s="396">
        <f t="shared" si="7"/>
        <v>0</v>
      </c>
      <c r="F261">
        <f>VLOOKUP(C238,C136:E152,3,TRUE)</f>
        <v>0</v>
      </c>
      <c r="G261">
        <f t="shared" si="8"/>
        <v>0</v>
      </c>
    </row>
    <row r="262" spans="2:7" ht="12.75" hidden="1">
      <c r="B262">
        <v>6</v>
      </c>
      <c r="C262" s="396">
        <f t="shared" si="5"/>
        <v>0</v>
      </c>
      <c r="D262">
        <f t="shared" si="6"/>
        <v>0</v>
      </c>
      <c r="E262" s="396">
        <f t="shared" si="7"/>
        <v>0</v>
      </c>
      <c r="F262">
        <f>VLOOKUP(C239,C136:E152,3,TRUE)</f>
        <v>0</v>
      </c>
      <c r="G262">
        <f t="shared" si="8"/>
        <v>0</v>
      </c>
    </row>
    <row r="263" spans="2:7" ht="12.75" hidden="1">
      <c r="B263">
        <v>7</v>
      </c>
      <c r="C263" s="396">
        <f t="shared" si="5"/>
        <v>0</v>
      </c>
      <c r="D263">
        <f t="shared" si="6"/>
        <v>0</v>
      </c>
      <c r="E263" s="396">
        <f t="shared" si="7"/>
        <v>0</v>
      </c>
      <c r="F263">
        <f>VLOOKUP(C240,C136:E152,3,TRUE)</f>
        <v>0</v>
      </c>
      <c r="G263">
        <f t="shared" si="8"/>
        <v>0</v>
      </c>
    </row>
    <row r="264" spans="2:7" ht="12.75" hidden="1">
      <c r="B264">
        <v>8</v>
      </c>
      <c r="C264" s="396">
        <f t="shared" si="5"/>
        <v>0</v>
      </c>
      <c r="D264">
        <f t="shared" si="6"/>
        <v>0</v>
      </c>
      <c r="E264" s="396">
        <f t="shared" si="7"/>
        <v>0</v>
      </c>
      <c r="F264">
        <f>VLOOKUP(C241,C136:E152,3,TRUE)</f>
        <v>0</v>
      </c>
      <c r="G264">
        <f t="shared" si="8"/>
        <v>0</v>
      </c>
    </row>
    <row r="265" spans="2:7" ht="12.75" hidden="1">
      <c r="B265">
        <v>9</v>
      </c>
      <c r="C265" s="396">
        <f t="shared" si="5"/>
        <v>0</v>
      </c>
      <c r="D265">
        <f t="shared" si="6"/>
        <v>0</v>
      </c>
      <c r="E265" s="396">
        <f t="shared" si="7"/>
        <v>0</v>
      </c>
      <c r="F265">
        <f>VLOOKUP(C242,C136:E152,3,TRUE)</f>
        <v>0</v>
      </c>
      <c r="G265">
        <f t="shared" si="8"/>
        <v>0</v>
      </c>
    </row>
    <row r="266" spans="2:7" ht="12.75" hidden="1">
      <c r="B266">
        <v>10</v>
      </c>
      <c r="C266" s="396">
        <f t="shared" si="5"/>
        <v>0</v>
      </c>
      <c r="D266">
        <f t="shared" si="6"/>
        <v>0</v>
      </c>
      <c r="E266" s="396">
        <f t="shared" si="7"/>
        <v>0</v>
      </c>
      <c r="F266">
        <f>VLOOKUP(C243,C136:E152,3,TRUE)</f>
        <v>0</v>
      </c>
      <c r="G266">
        <f t="shared" si="8"/>
        <v>0</v>
      </c>
    </row>
    <row r="267" spans="2:7" ht="3.75" customHeight="1" hidden="1">
      <c r="B267">
        <v>11</v>
      </c>
      <c r="C267" s="396">
        <f t="shared" si="5"/>
        <v>0</v>
      </c>
      <c r="D267">
        <f t="shared" si="6"/>
        <v>0</v>
      </c>
      <c r="E267" s="396">
        <f t="shared" si="7"/>
        <v>0</v>
      </c>
      <c r="F267">
        <f>VLOOKUP(C244,C136:E152,3,TRUE)</f>
        <v>0</v>
      </c>
      <c r="G267">
        <f t="shared" si="8"/>
        <v>0</v>
      </c>
    </row>
    <row r="268" spans="2:7" ht="12.75" hidden="1">
      <c r="B268">
        <v>12</v>
      </c>
      <c r="C268" s="396">
        <f t="shared" si="5"/>
        <v>0</v>
      </c>
      <c r="D268">
        <f t="shared" si="6"/>
        <v>0</v>
      </c>
      <c r="E268" s="396">
        <f t="shared" si="7"/>
        <v>0</v>
      </c>
      <c r="F268">
        <f>VLOOKUP(C245,C136:E152,3,TRUE)</f>
        <v>0</v>
      </c>
      <c r="G268">
        <f t="shared" si="8"/>
        <v>0</v>
      </c>
    </row>
    <row r="269" spans="2:7" ht="12.75" hidden="1">
      <c r="B269">
        <v>13</v>
      </c>
      <c r="C269" s="396">
        <f t="shared" si="5"/>
        <v>0</v>
      </c>
      <c r="D269">
        <f t="shared" si="6"/>
        <v>0</v>
      </c>
      <c r="E269" s="396">
        <f t="shared" si="7"/>
        <v>0</v>
      </c>
      <c r="F269">
        <f>VLOOKUP(C246,C136:E152,3,TRUE)</f>
        <v>0</v>
      </c>
      <c r="G269">
        <f t="shared" si="8"/>
        <v>0</v>
      </c>
    </row>
    <row r="270" spans="2:7" ht="12.75" hidden="1">
      <c r="B270">
        <v>14</v>
      </c>
      <c r="C270" s="396">
        <f t="shared" si="5"/>
        <v>0</v>
      </c>
      <c r="D270">
        <f t="shared" si="6"/>
        <v>0</v>
      </c>
      <c r="E270" s="396">
        <f t="shared" si="7"/>
        <v>0</v>
      </c>
      <c r="F270">
        <f>VLOOKUP(C247,C136:E152,3,TRUE)</f>
        <v>0</v>
      </c>
      <c r="G270">
        <f t="shared" si="8"/>
        <v>0</v>
      </c>
    </row>
    <row r="271" spans="2:7" ht="12.75" hidden="1">
      <c r="B271">
        <v>15</v>
      </c>
      <c r="C271" s="396">
        <f t="shared" si="5"/>
        <v>0</v>
      </c>
      <c r="D271">
        <f t="shared" si="6"/>
        <v>0</v>
      </c>
      <c r="E271" s="396">
        <f t="shared" si="7"/>
        <v>0</v>
      </c>
      <c r="F271">
        <f>VLOOKUP(C248,C136:E152,3,TRUE)</f>
        <v>0</v>
      </c>
      <c r="G271">
        <f t="shared" si="8"/>
        <v>0</v>
      </c>
    </row>
    <row r="272" spans="2:7" ht="12.75" hidden="1">
      <c r="B272">
        <v>16</v>
      </c>
      <c r="C272" s="396">
        <f t="shared" si="5"/>
        <v>0</v>
      </c>
      <c r="D272">
        <f t="shared" si="6"/>
        <v>0</v>
      </c>
      <c r="E272" s="396">
        <f t="shared" si="7"/>
        <v>0</v>
      </c>
      <c r="F272">
        <f>VLOOKUP(C249,C136:E152,3,TRUE)</f>
        <v>0</v>
      </c>
      <c r="G272">
        <f t="shared" si="8"/>
        <v>0</v>
      </c>
    </row>
    <row r="273" spans="2:7" ht="12.75" hidden="1">
      <c r="B273">
        <v>17</v>
      </c>
      <c r="C273" s="396">
        <f t="shared" si="5"/>
        <v>0</v>
      </c>
      <c r="D273">
        <f t="shared" si="6"/>
        <v>0</v>
      </c>
      <c r="E273" s="396">
        <f t="shared" si="7"/>
        <v>0</v>
      </c>
      <c r="F273">
        <f>VLOOKUP(C250,C136:E152,3,TRUE)</f>
        <v>0</v>
      </c>
      <c r="G273">
        <f t="shared" si="8"/>
        <v>0</v>
      </c>
    </row>
    <row r="274" spans="2:7" ht="12.75" hidden="1">
      <c r="B274">
        <v>18</v>
      </c>
      <c r="C274" s="396">
        <f t="shared" si="5"/>
        <v>0</v>
      </c>
      <c r="D274">
        <f t="shared" si="6"/>
        <v>0</v>
      </c>
      <c r="E274" s="396">
        <f t="shared" si="7"/>
        <v>0</v>
      </c>
      <c r="F274">
        <f>VLOOKUP(C251,C136:E152,3,TRUE)</f>
        <v>0</v>
      </c>
      <c r="G274">
        <f t="shared" si="8"/>
        <v>0</v>
      </c>
    </row>
    <row r="275" spans="2:7" ht="12.75" hidden="1">
      <c r="B275">
        <v>19</v>
      </c>
      <c r="C275" s="396">
        <f t="shared" si="5"/>
        <v>0</v>
      </c>
      <c r="D275">
        <f t="shared" si="6"/>
        <v>0</v>
      </c>
      <c r="E275" s="396">
        <f t="shared" si="7"/>
        <v>0</v>
      </c>
      <c r="F275">
        <f>VLOOKUP(C252,C136:E152,3,TRUE)</f>
        <v>0</v>
      </c>
      <c r="G275">
        <f t="shared" si="8"/>
        <v>0</v>
      </c>
    </row>
    <row r="276" spans="2:7" ht="6" customHeight="1" hidden="1">
      <c r="B276">
        <v>20</v>
      </c>
      <c r="C276" s="396">
        <f t="shared" si="5"/>
        <v>0</v>
      </c>
      <c r="D276">
        <f t="shared" si="6"/>
        <v>0</v>
      </c>
      <c r="E276" s="396">
        <f t="shared" si="7"/>
        <v>0</v>
      </c>
      <c r="F276">
        <f>VLOOKUP(C253,C136:E152,3,TRUE)</f>
        <v>0</v>
      </c>
      <c r="G276">
        <f t="shared" si="8"/>
        <v>0</v>
      </c>
    </row>
    <row r="277" spans="2:7" ht="12.75" hidden="1">
      <c r="B277">
        <v>21</v>
      </c>
      <c r="C277" s="396">
        <f t="shared" si="5"/>
        <v>0</v>
      </c>
      <c r="D277">
        <f t="shared" si="6"/>
        <v>0</v>
      </c>
      <c r="E277" s="396">
        <f t="shared" si="7"/>
        <v>0</v>
      </c>
      <c r="G277">
        <f t="shared" si="8"/>
        <v>0</v>
      </c>
    </row>
    <row r="278" spans="2:7" ht="12.75" hidden="1">
      <c r="B278">
        <v>22</v>
      </c>
      <c r="C278" s="396">
        <f t="shared" si="5"/>
        <v>0</v>
      </c>
      <c r="D278">
        <f t="shared" si="6"/>
        <v>0</v>
      </c>
      <c r="E278" s="396">
        <f t="shared" si="7"/>
        <v>0</v>
      </c>
      <c r="G278">
        <f t="shared" si="8"/>
        <v>0</v>
      </c>
    </row>
    <row r="279" spans="2:7" ht="12.75" hidden="1">
      <c r="B279">
        <v>23</v>
      </c>
      <c r="C279" s="396">
        <f t="shared" si="5"/>
        <v>0</v>
      </c>
      <c r="D279">
        <f t="shared" si="6"/>
        <v>0</v>
      </c>
      <c r="E279" s="396">
        <f t="shared" si="7"/>
        <v>0</v>
      </c>
      <c r="G279">
        <f t="shared" si="8"/>
        <v>0</v>
      </c>
    </row>
    <row r="280" spans="2:7" ht="12.75" hidden="1">
      <c r="B280">
        <v>24</v>
      </c>
      <c r="C280" s="396">
        <f t="shared" si="5"/>
        <v>0</v>
      </c>
      <c r="D280">
        <f t="shared" si="6"/>
        <v>0</v>
      </c>
      <c r="E280" s="396">
        <f t="shared" si="7"/>
        <v>0</v>
      </c>
      <c r="F280">
        <f aca="true" t="shared" si="9" ref="F280:F310">IF(B223&lt;AC223,F246,0)</f>
        <v>0</v>
      </c>
      <c r="G280">
        <f t="shared" si="8"/>
        <v>0</v>
      </c>
    </row>
    <row r="281" spans="2:7" ht="12.75" hidden="1">
      <c r="B281">
        <v>25</v>
      </c>
      <c r="C281" s="396">
        <f t="shared" si="5"/>
        <v>0</v>
      </c>
      <c r="D281">
        <f t="shared" si="6"/>
        <v>0</v>
      </c>
      <c r="E281" s="396">
        <f t="shared" si="7"/>
        <v>0</v>
      </c>
      <c r="F281">
        <f t="shared" si="9"/>
        <v>0</v>
      </c>
      <c r="G281">
        <f t="shared" si="8"/>
        <v>0</v>
      </c>
    </row>
    <row r="282" spans="2:7" ht="12.75" hidden="1">
      <c r="B282">
        <v>26</v>
      </c>
      <c r="C282" s="396">
        <f t="shared" si="5"/>
        <v>0</v>
      </c>
      <c r="D282">
        <f t="shared" si="6"/>
        <v>0</v>
      </c>
      <c r="E282" s="396">
        <f t="shared" si="7"/>
        <v>0</v>
      </c>
      <c r="F282">
        <f t="shared" si="9"/>
        <v>0</v>
      </c>
      <c r="G282">
        <f t="shared" si="8"/>
        <v>0</v>
      </c>
    </row>
    <row r="283" spans="2:7" ht="12.75" hidden="1">
      <c r="B283">
        <v>27</v>
      </c>
      <c r="C283" s="396">
        <f t="shared" si="5"/>
        <v>0</v>
      </c>
      <c r="D283">
        <f t="shared" si="6"/>
        <v>0</v>
      </c>
      <c r="E283" s="396">
        <f t="shared" si="7"/>
        <v>0</v>
      </c>
      <c r="F283">
        <f t="shared" si="9"/>
        <v>0</v>
      </c>
      <c r="G283">
        <f t="shared" si="8"/>
        <v>0</v>
      </c>
    </row>
    <row r="284" spans="2:7" ht="12.75" hidden="1">
      <c r="B284">
        <v>28</v>
      </c>
      <c r="C284" s="396">
        <f t="shared" si="5"/>
        <v>0</v>
      </c>
      <c r="D284">
        <f t="shared" si="6"/>
        <v>0</v>
      </c>
      <c r="E284" s="396">
        <f t="shared" si="7"/>
        <v>0</v>
      </c>
      <c r="F284">
        <f t="shared" si="9"/>
        <v>0</v>
      </c>
      <c r="G284">
        <f t="shared" si="8"/>
        <v>0</v>
      </c>
    </row>
    <row r="285" spans="2:7" ht="12.75" hidden="1">
      <c r="B285">
        <v>29</v>
      </c>
      <c r="C285" s="396">
        <f t="shared" si="5"/>
        <v>0</v>
      </c>
      <c r="D285">
        <f t="shared" si="6"/>
        <v>0</v>
      </c>
      <c r="E285" s="396">
        <f t="shared" si="7"/>
        <v>0</v>
      </c>
      <c r="F285">
        <f t="shared" si="9"/>
        <v>0</v>
      </c>
      <c r="G285">
        <f t="shared" si="8"/>
        <v>0</v>
      </c>
    </row>
    <row r="286" spans="2:7" ht="12.75" hidden="1">
      <c r="B286">
        <v>30</v>
      </c>
      <c r="C286" s="396">
        <f t="shared" si="5"/>
        <v>0</v>
      </c>
      <c r="D286">
        <f t="shared" si="6"/>
        <v>0</v>
      </c>
      <c r="E286" s="396">
        <f t="shared" si="7"/>
        <v>0</v>
      </c>
      <c r="F286">
        <f t="shared" si="9"/>
        <v>0</v>
      </c>
      <c r="G286">
        <f t="shared" si="8"/>
        <v>0</v>
      </c>
    </row>
    <row r="287" spans="2:7" ht="12.75" hidden="1">
      <c r="B287">
        <v>31</v>
      </c>
      <c r="C287" s="396">
        <f t="shared" si="5"/>
        <v>0</v>
      </c>
      <c r="D287">
        <f t="shared" si="6"/>
        <v>0</v>
      </c>
      <c r="E287" s="396">
        <f t="shared" si="7"/>
        <v>0</v>
      </c>
      <c r="F287">
        <f t="shared" si="9"/>
        <v>0</v>
      </c>
      <c r="G287">
        <f t="shared" si="8"/>
        <v>0</v>
      </c>
    </row>
    <row r="288" spans="6:7" ht="12.75" hidden="1">
      <c r="F288">
        <f t="shared" si="9"/>
        <v>0</v>
      </c>
      <c r="G288">
        <f t="shared" si="8"/>
        <v>0</v>
      </c>
    </row>
    <row r="289" ht="12.75" hidden="1">
      <c r="F289">
        <f t="shared" si="9"/>
        <v>0</v>
      </c>
    </row>
    <row r="290" spans="1:6" ht="12.75" hidden="1">
      <c r="A290">
        <f>AC223</f>
        <v>0</v>
      </c>
      <c r="B290">
        <f>A290</f>
        <v>0</v>
      </c>
      <c r="C290" s="396">
        <f>VLOOKUP(B290,B222:C253,2,TRUE)</f>
        <v>0</v>
      </c>
      <c r="D290">
        <f>VLOOKUP(B290,B222:D253,3,TRUE)</f>
        <v>0</v>
      </c>
      <c r="E290">
        <f>VLOOKUP(B290,B222:E253,4,TRUE)</f>
        <v>0</v>
      </c>
      <c r="F290">
        <f t="shared" si="9"/>
        <v>0</v>
      </c>
    </row>
    <row r="291" spans="1:7" ht="12.75" hidden="1">
      <c r="A291">
        <f>A290+1</f>
        <v>1</v>
      </c>
      <c r="B291">
        <f>IF(A291&lt;AD223,A291,0)</f>
        <v>0</v>
      </c>
      <c r="C291" s="396">
        <f>VLOOKUP(B291,B222:C253,2,TRUE)</f>
        <v>0</v>
      </c>
      <c r="D291">
        <f>VLOOKUP(B291,B222:D253,3,TRUE)</f>
        <v>0</v>
      </c>
      <c r="E291">
        <f>VLOOKUP(B291,B222:E253,4,TRUE)</f>
        <v>0</v>
      </c>
      <c r="F291">
        <f t="shared" si="9"/>
        <v>0</v>
      </c>
      <c r="G291">
        <f>VLOOKUP(B290,B222:U253,6,TRUE)</f>
        <v>0</v>
      </c>
    </row>
    <row r="292" spans="1:7" ht="12.75" hidden="1">
      <c r="A292">
        <f>A291+1</f>
        <v>2</v>
      </c>
      <c r="B292">
        <f>IF(A292&lt;AD224,A292,0)</f>
        <v>0</v>
      </c>
      <c r="C292" s="396">
        <f>VLOOKUP(B292,B222:C253,2,TRUE)</f>
        <v>0</v>
      </c>
      <c r="D292">
        <f>VLOOKUP(B292,B222:D253,3,TRUE)</f>
        <v>0</v>
      </c>
      <c r="E292">
        <f>VLOOKUP(B292,B222:E253,4,TRUE)</f>
        <v>0</v>
      </c>
      <c r="F292">
        <f t="shared" si="9"/>
        <v>0</v>
      </c>
      <c r="G292">
        <f>VLOOKUP(B291,B222:U253,6,TRUE)</f>
        <v>0</v>
      </c>
    </row>
    <row r="293" spans="1:7" ht="12.75" hidden="1">
      <c r="A293">
        <f>A292+1</f>
        <v>3</v>
      </c>
      <c r="B293">
        <f>IF(A293&lt;AD225,A293,0)</f>
        <v>0</v>
      </c>
      <c r="C293" s="396">
        <f>VLOOKUP(B293,B222:C253,2,TRUE)</f>
        <v>0</v>
      </c>
      <c r="D293">
        <f>VLOOKUP(B293,B222:D253,3,TRUE)</f>
        <v>0</v>
      </c>
      <c r="E293">
        <f>VLOOKUP(B293,B222:E253,4,TRUE)</f>
        <v>0</v>
      </c>
      <c r="F293">
        <f t="shared" si="9"/>
        <v>0</v>
      </c>
      <c r="G293">
        <f>VLOOKUP(B292,B222:U253,6,TRUE)</f>
        <v>0</v>
      </c>
    </row>
    <row r="294" spans="6:7" ht="12.75" hidden="1">
      <c r="F294">
        <f t="shared" si="9"/>
        <v>0</v>
      </c>
      <c r="G294">
        <f>VLOOKUP(B293,B222:U253,6,TRUE)</f>
        <v>0</v>
      </c>
    </row>
    <row r="295" spans="1:6" ht="12.75" hidden="1">
      <c r="A295">
        <f>AD223</f>
        <v>0</v>
      </c>
      <c r="B295">
        <f>A295</f>
        <v>0</v>
      </c>
      <c r="C295" s="396">
        <f>VLOOKUP(B295,B222:U253,2,TRUE)</f>
        <v>0</v>
      </c>
      <c r="D295">
        <f>VLOOKUP(B295,B222:U253,3,TRUE)</f>
        <v>0</v>
      </c>
      <c r="E295" s="396">
        <f>IF(C295=0,0,VLOOKUP(B295,B222:U253,4,TRUE))</f>
        <v>0</v>
      </c>
      <c r="F295">
        <f t="shared" si="9"/>
        <v>0</v>
      </c>
    </row>
    <row r="296" spans="1:7" ht="12.75" hidden="1">
      <c r="A296">
        <f>A295+1</f>
        <v>1</v>
      </c>
      <c r="B296">
        <f>IF(A296&lt;31,A296,31)</f>
        <v>1</v>
      </c>
      <c r="C296" s="396">
        <f>VLOOKUP(B296,B222:U253,2,TRUE)</f>
        <v>0</v>
      </c>
      <c r="D296">
        <f>VLOOKUP(B296,B222:U253,3,TRUE)</f>
        <v>1</v>
      </c>
      <c r="E296" s="396">
        <f>IF(C296=0,0,VLOOKUP(B296,B222:U253,4,TRUE))</f>
        <v>0</v>
      </c>
      <c r="F296">
        <f t="shared" si="9"/>
        <v>0</v>
      </c>
      <c r="G296">
        <f>VLOOKUP(B295,B222:U253,6,TRUE)</f>
        <v>0</v>
      </c>
    </row>
    <row r="297" spans="1:7" ht="12.75" hidden="1">
      <c r="A297">
        <f aca="true" t="shared" si="10" ref="A297:A302">A296+1</f>
        <v>2</v>
      </c>
      <c r="B297">
        <f aca="true" t="shared" si="11" ref="B297:B302">IF(A297&lt;31,A297,31)</f>
        <v>2</v>
      </c>
      <c r="C297" s="396">
        <f>VLOOKUP(B297,B222:U253,2,TRUE)</f>
        <v>0</v>
      </c>
      <c r="D297">
        <f>VLOOKUP(B297,B222:U253,3,TRUE)</f>
        <v>0</v>
      </c>
      <c r="E297" s="396">
        <f>IF(C297=0,0,VLOOKUP(B297,B222:U253,4,TRUE))</f>
        <v>0</v>
      </c>
      <c r="F297">
        <f t="shared" si="9"/>
        <v>0</v>
      </c>
      <c r="G297">
        <f>VLOOKUP(B296,B222:U253,6,TRUE)</f>
        <v>0</v>
      </c>
    </row>
    <row r="298" spans="1:7" ht="12.75" hidden="1">
      <c r="A298">
        <f t="shared" si="10"/>
        <v>3</v>
      </c>
      <c r="B298">
        <f t="shared" si="11"/>
        <v>3</v>
      </c>
      <c r="C298" s="396">
        <f>VLOOKUP(B298,B222:U253,2,TRUE)</f>
        <v>0</v>
      </c>
      <c r="D298">
        <f>VLOOKUP(B298,B222:U253,3,TRUE)</f>
        <v>0</v>
      </c>
      <c r="E298" s="396">
        <f>IF(C298=0,0,VLOOKUP(B298,B222:U253,4,TRUE))</f>
        <v>0</v>
      </c>
      <c r="F298">
        <f t="shared" si="9"/>
        <v>0</v>
      </c>
      <c r="G298" t="e">
        <f>VLOOKUP(B297,B222:U253,6,TRUE)</f>
        <v>#N/A</v>
      </c>
    </row>
    <row r="299" spans="1:7" ht="12.75" hidden="1">
      <c r="A299">
        <f t="shared" si="10"/>
        <v>4</v>
      </c>
      <c r="B299">
        <f t="shared" si="11"/>
        <v>4</v>
      </c>
      <c r="C299" s="396">
        <f>VLOOKUP(B299,B222:U253,2,TRUE)</f>
        <v>0</v>
      </c>
      <c r="D299">
        <f>VLOOKUP(B299,B222:U253,3,TRUE)</f>
        <v>0</v>
      </c>
      <c r="E299" s="396">
        <f>IF(C299=0,0,VLOOKUP(B299,B222:U253,4,TRUE))</f>
        <v>0</v>
      </c>
      <c r="F299">
        <f t="shared" si="9"/>
        <v>0</v>
      </c>
      <c r="G299" t="e">
        <f>VLOOKUP(B298,B222:U253,6,TRUE)</f>
        <v>#N/A</v>
      </c>
    </row>
    <row r="300" spans="1:7" ht="12.75" hidden="1">
      <c r="A300">
        <f t="shared" si="10"/>
        <v>5</v>
      </c>
      <c r="B300">
        <f t="shared" si="11"/>
        <v>5</v>
      </c>
      <c r="C300" s="396">
        <f>VLOOKUP(B300,B222:U253,2,TRUE)</f>
        <v>0</v>
      </c>
      <c r="D300">
        <f>VLOOKUP(B300,B222:U253,3,TRUE)</f>
        <v>0</v>
      </c>
      <c r="E300" s="396">
        <f>IF(C300=0,0,VLOOKUP(B300,B222:U253,4,TRUE))</f>
        <v>0</v>
      </c>
      <c r="F300">
        <f t="shared" si="9"/>
        <v>0</v>
      </c>
      <c r="G300" t="e">
        <f>VLOOKUP(B299,B222:U253,6,TRUE)</f>
        <v>#N/A</v>
      </c>
    </row>
    <row r="301" spans="1:7" ht="12.75" hidden="1">
      <c r="A301">
        <f t="shared" si="10"/>
        <v>6</v>
      </c>
      <c r="B301">
        <f t="shared" si="11"/>
        <v>6</v>
      </c>
      <c r="C301" s="396">
        <f>VLOOKUP(B301,B222:U253,2,TRUE)</f>
        <v>0</v>
      </c>
      <c r="D301">
        <f>VLOOKUP(B301,B222:U253,3,TRUE)</f>
        <v>0</v>
      </c>
      <c r="E301" s="396">
        <f>IF(C301=0,0,VLOOKUP(B301,B222:U253,4,TRUE))</f>
        <v>0</v>
      </c>
      <c r="F301">
        <f t="shared" si="9"/>
        <v>0</v>
      </c>
      <c r="G301" t="e">
        <f>VLOOKUP(B300,B222:U253,6,TRUE)</f>
        <v>#N/A</v>
      </c>
    </row>
    <row r="302" spans="1:7" ht="12.75" hidden="1">
      <c r="A302">
        <f t="shared" si="10"/>
        <v>7</v>
      </c>
      <c r="B302">
        <f t="shared" si="11"/>
        <v>7</v>
      </c>
      <c r="C302" s="396">
        <f>VLOOKUP(B302,B222:U253,2,TRUE)</f>
        <v>0</v>
      </c>
      <c r="D302">
        <f>VLOOKUP(B302,B222:U253,3,TRUE)</f>
        <v>0</v>
      </c>
      <c r="E302" s="396">
        <f>IF(C302=0,0,VLOOKUP(B302,B222:U253,4,TRUE))</f>
        <v>0</v>
      </c>
      <c r="F302">
        <f t="shared" si="9"/>
        <v>0</v>
      </c>
      <c r="G302" t="e">
        <f>VLOOKUP(B301,B222:U253,6,TRUE)</f>
        <v>#N/A</v>
      </c>
    </row>
    <row r="303" spans="6:7" ht="12.75" hidden="1">
      <c r="F303">
        <f t="shared" si="9"/>
        <v>0</v>
      </c>
      <c r="G303" t="e">
        <f>VLOOKUP(B302,B222:U253,6,TRUE)</f>
        <v>#N/A</v>
      </c>
    </row>
    <row r="304" ht="12.75" hidden="1">
      <c r="F304">
        <f t="shared" si="9"/>
        <v>0</v>
      </c>
    </row>
    <row r="305" ht="12.75" hidden="1">
      <c r="F305">
        <f t="shared" si="9"/>
        <v>0</v>
      </c>
    </row>
    <row r="306" ht="12.75" hidden="1">
      <c r="F306">
        <f t="shared" si="9"/>
        <v>0</v>
      </c>
    </row>
    <row r="307" ht="12.75" hidden="1">
      <c r="F307">
        <f t="shared" si="9"/>
        <v>0</v>
      </c>
    </row>
    <row r="308" ht="12.75" hidden="1">
      <c r="F308">
        <f t="shared" si="9"/>
        <v>0</v>
      </c>
    </row>
    <row r="309" ht="12.75" hidden="1">
      <c r="F309">
        <f t="shared" si="9"/>
        <v>0</v>
      </c>
    </row>
    <row r="310" ht="12.75" hidden="1">
      <c r="F310">
        <f t="shared" si="9"/>
        <v>0</v>
      </c>
    </row>
    <row r="311" ht="12.75" hidden="1"/>
    <row r="312" ht="12.75" hidden="1"/>
    <row r="313" ht="12.75" hidden="1">
      <c r="F313">
        <f>VLOOKUP(B290,B222:F253,5,TRUE)</f>
        <v>0</v>
      </c>
    </row>
    <row r="314" ht="12.75" hidden="1">
      <c r="F314">
        <f>VLOOKUP(B291,B222:F253,5,TRUE)</f>
        <v>0</v>
      </c>
    </row>
    <row r="315" ht="12.75" hidden="1">
      <c r="F315">
        <f>VLOOKUP(B292,B222:F253,5,TRUE)</f>
        <v>0</v>
      </c>
    </row>
    <row r="316" ht="12.75" hidden="1">
      <c r="F316">
        <f>VLOOKUP(B293,B222:F253,5,TRUE)</f>
        <v>0</v>
      </c>
    </row>
    <row r="317" ht="12.75" hidden="1"/>
    <row r="318" ht="12.75" hidden="1">
      <c r="F318" s="400">
        <f>VLOOKUP(B295,B222:U253,5,TRUE)</f>
        <v>0</v>
      </c>
    </row>
    <row r="319" ht="12.75" hidden="1">
      <c r="F319" s="400">
        <f>VLOOKUP(B296,B222:U253,5,TRUE)</f>
        <v>0</v>
      </c>
    </row>
    <row r="320" ht="12.75" hidden="1">
      <c r="F320" s="400">
        <f>VLOOKUP(B297,B222:U253,5,TRUE)</f>
        <v>0</v>
      </c>
    </row>
    <row r="321" ht="12.75" hidden="1">
      <c r="F321" s="400">
        <f>VLOOKUP(B298,B222:U253,5,TRUE)</f>
        <v>0</v>
      </c>
    </row>
    <row r="322" ht="12.75" hidden="1">
      <c r="F322" s="400">
        <f>VLOOKUP(B299,B222:U253,5,TRUE)</f>
        <v>0</v>
      </c>
    </row>
    <row r="323" ht="12.75" hidden="1">
      <c r="F323" s="400">
        <f>VLOOKUP(B300,B222:U253,5,TRUE)</f>
        <v>0</v>
      </c>
    </row>
    <row r="324" ht="12.75" hidden="1">
      <c r="F324" s="400">
        <f>VLOOKUP(B301,B222:U253,5,TRUE)</f>
        <v>0</v>
      </c>
    </row>
    <row r="325" ht="12.75" hidden="1">
      <c r="F325" s="400">
        <f>VLOOKUP(B302,B222:U253,5,TRUE)</f>
        <v>0</v>
      </c>
    </row>
    <row r="326" ht="12.75" hidden="1"/>
    <row r="327" ht="12.75" hidden="1"/>
    <row r="328" ht="12.75" hidden="1"/>
    <row r="329" ht="12.75" hidden="1"/>
    <row r="330" ht="12.75" hidden="1"/>
    <row r="331" ht="7.5" customHeight="1"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5.25" customHeight="1"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sheetData>
  <sheetProtection/>
  <protectedRanges>
    <protectedRange password="CC42" sqref="E23:E24" name="Range1_1_1"/>
    <protectedRange password="CC42" sqref="G23:G25" name="Range1_1_2"/>
  </protectedRanges>
  <mergeCells count="173">
    <mergeCell ref="B21:C21"/>
    <mergeCell ref="B23:C23"/>
    <mergeCell ref="A1:G1"/>
    <mergeCell ref="A2:A10"/>
    <mergeCell ref="B2:C2"/>
    <mergeCell ref="E2:G2"/>
    <mergeCell ref="B4:C4"/>
    <mergeCell ref="E4:G4"/>
    <mergeCell ref="B5:C5"/>
    <mergeCell ref="E5:G5"/>
    <mergeCell ref="B6:C6"/>
    <mergeCell ref="E6:G6"/>
    <mergeCell ref="B7:C7"/>
    <mergeCell ref="E7:G7"/>
    <mergeCell ref="B10:C10"/>
    <mergeCell ref="E10:G10"/>
    <mergeCell ref="B12:C12"/>
    <mergeCell ref="B8:C8"/>
    <mergeCell ref="E8:G8"/>
    <mergeCell ref="B9:C9"/>
    <mergeCell ref="E9:G9"/>
    <mergeCell ref="E12:G12"/>
    <mergeCell ref="A11:A20"/>
    <mergeCell ref="B11:C11"/>
    <mergeCell ref="E11:G11"/>
    <mergeCell ref="B13:C13"/>
    <mergeCell ref="E13:G13"/>
    <mergeCell ref="B15:C15"/>
    <mergeCell ref="E15:G15"/>
    <mergeCell ref="B16:C16"/>
    <mergeCell ref="E16:G16"/>
    <mergeCell ref="B17:C17"/>
    <mergeCell ref="F36:G36"/>
    <mergeCell ref="F37:G37"/>
    <mergeCell ref="F34:G34"/>
    <mergeCell ref="F35:G35"/>
    <mergeCell ref="E22:G22"/>
    <mergeCell ref="I14:J14"/>
    <mergeCell ref="E19:G19"/>
    <mergeCell ref="E20:G20"/>
    <mergeCell ref="K14:L14"/>
    <mergeCell ref="M14:N14"/>
    <mergeCell ref="B22:C22"/>
    <mergeCell ref="B26:C26"/>
    <mergeCell ref="E17:G17"/>
    <mergeCell ref="B18:C18"/>
    <mergeCell ref="E18:G18"/>
    <mergeCell ref="B19:C19"/>
    <mergeCell ref="B20:C20"/>
    <mergeCell ref="B24:C2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FU14:FV14"/>
    <mergeCell ref="FW14:FX14"/>
    <mergeCell ref="FY14:FZ14"/>
    <mergeCell ref="GA14:GB14"/>
    <mergeCell ref="GC14:GD14"/>
    <mergeCell ref="GE14:GF14"/>
    <mergeCell ref="GG14:GH14"/>
    <mergeCell ref="GI14:GJ14"/>
    <mergeCell ref="GK14:GL14"/>
    <mergeCell ref="GM14:GN14"/>
    <mergeCell ref="GO14:GP14"/>
    <mergeCell ref="GQ14:GR14"/>
    <mergeCell ref="GS14:GT14"/>
    <mergeCell ref="GU14:GV14"/>
    <mergeCell ref="GW14:GX14"/>
    <mergeCell ref="HU14:HV14"/>
    <mergeCell ref="GY14:GZ14"/>
    <mergeCell ref="HA14:HB14"/>
    <mergeCell ref="HC14:HD14"/>
    <mergeCell ref="HE14:HF14"/>
    <mergeCell ref="HG14:HH14"/>
    <mergeCell ref="HI14:HJ14"/>
    <mergeCell ref="HY14:HZ14"/>
    <mergeCell ref="IA14:IB14"/>
    <mergeCell ref="IC14:ID14"/>
    <mergeCell ref="IE14:IF14"/>
    <mergeCell ref="IG14:IH14"/>
    <mergeCell ref="HK14:HL14"/>
    <mergeCell ref="HM14:HN14"/>
    <mergeCell ref="HO14:HP14"/>
    <mergeCell ref="HQ14:HR14"/>
    <mergeCell ref="HS14:HT14"/>
    <mergeCell ref="IU14:IV14"/>
    <mergeCell ref="E14:G14"/>
    <mergeCell ref="B14:C14"/>
    <mergeCell ref="II14:IJ14"/>
    <mergeCell ref="IK14:IL14"/>
    <mergeCell ref="IM14:IN14"/>
    <mergeCell ref="IO14:IP14"/>
    <mergeCell ref="IQ14:IR14"/>
    <mergeCell ref="IS14:IT14"/>
    <mergeCell ref="HW14:HX14"/>
  </mergeCells>
  <dataValidations count="22">
    <dataValidation type="list" allowBlank="1" showInputMessage="1" showErrorMessage="1" prompt="IF E41 IS NO THEN DON'T ATTEMPT THIS THERE IS NO NEED TO CLEAR IT&#10;" error="Please, select from the drop down list." sqref="E27">
      <formula1>$I$46:$I$76</formula1>
    </dataValidation>
    <dataValidation type="list" allowBlank="1" showInputMessage="1" showErrorMessage="1" error="Please, select from the drop down list." sqref="F27">
      <formula1>$G$46:$G$57</formula1>
    </dataValidation>
    <dataValidation type="list" allowBlank="1" showInputMessage="1" showErrorMessage="1" sqref="I43">
      <formula1>$F$43:$F$75</formula1>
    </dataValidation>
    <dataValidation type="list" allowBlank="1" showInputMessage="1" showErrorMessage="1" sqref="I76">
      <formula1>$I$76</formula1>
    </dataValidation>
    <dataValidation type="list" allowBlank="1" showInputMessage="1" showErrorMessage="1" sqref="L45">
      <formula1>$I$46:$I$76</formula1>
    </dataValidation>
    <dataValidation type="list" allowBlank="1" showInputMessage="1" showErrorMessage="1" error="Please, select from the drop down list." sqref="G27">
      <formula1>$G$63:$G$65</formula1>
    </dataValidation>
    <dataValidation type="list" allowBlank="1" showInputMessage="1" showErrorMessage="1" prompt="ENTER FROM THE DROP DOWN LIST" error="Please, select from the drop down list." sqref="E23:E24">
      <formula1>$I$46:$I$76</formula1>
    </dataValidation>
    <dataValidation type="list" allowBlank="1" showInputMessage="1" showErrorMessage="1" prompt="ENTER FROM THE DROP DOWN LIST" error="Please, select from the drop down list." sqref="F26:G26">
      <formula1>$N$92:$N$95</formula1>
    </dataValidation>
    <dataValidation type="list" allowBlank="1" showInputMessage="1" showErrorMessage="1" error="Please, select from the drop down list." sqref="G23">
      <formula1>$G$60</formula1>
    </dataValidation>
    <dataValidation type="list" allowBlank="1" showInputMessage="1" showErrorMessage="1" promptTitle="ENTERING DATA" prompt="ENTER FROM THE DROP DOWN LIST. IF YOUR POST IS NOT THERE THEN SELECT EMPTY PALECE IN THE DROP DOWN LIST. LATER FILL MANUALLY IN NECESSARY PLACE.&#10;" error="Please select from the drop down list. If there is no required data then select empty later write it mannually" sqref="E22:G22">
      <formula1>$Q$100:$Q$116</formula1>
    </dataValidation>
    <dataValidation type="list" allowBlank="1" showInputMessage="1" showErrorMessage="1" sqref="F23:F24">
      <formula1>$G$46:$G$58</formula1>
    </dataValidation>
    <dataValidation type="list" allowBlank="1" showInputMessage="1" showErrorMessage="1" prompt="ENTER FROM THE DROP DOWN LIST" error="Please, select from the drop down list." sqref="E26">
      <formula1>$G$91:$G$93</formula1>
    </dataValidation>
    <dataValidation allowBlank="1" showInputMessage="1" showErrorMessage="1" promptTitle="NUMBER" prompt="This is a number. Don't use symbols." sqref="E15:G15"/>
    <dataValidation type="whole" allowBlank="1" showInputMessage="1" showErrorMessage="1" prompt="First zero does not appear in this cell but it will be counted" sqref="E17:G17">
      <formula1>0</formula1>
      <formula2>100000000000</formula2>
    </dataValidation>
    <dataValidation type="list" allowBlank="1" showInputMessage="1" showErrorMessage="1" sqref="E21">
      <formula1>$I$31</formula1>
    </dataValidation>
    <dataValidation type="list" allowBlank="1" showInputMessage="1" showErrorMessage="1" sqref="F21">
      <formula1>$G$46:$G$57</formula1>
    </dataValidation>
    <dataValidation type="list" allowBlank="1" showInputMessage="1" showErrorMessage="1" sqref="G21">
      <formula1>$G$63:$G$64</formula1>
    </dataValidation>
    <dataValidation type="list" allowBlank="1" showInputMessage="1" showErrorMessage="1" error="Please, select from the drop down list." sqref="G24">
      <formula1>$G$63</formula1>
    </dataValidation>
    <dataValidation type="list" allowBlank="1" showInputMessage="1" showErrorMessage="1" prompt="ENTER FROM THE DROP DOWN LIST" error="Please, select from the drop down list." sqref="E25">
      <formula1>$G$96:$G$98</formula1>
    </dataValidation>
    <dataValidation type="list" allowBlank="1" showInputMessage="1" showErrorMessage="1" sqref="E9">
      <formula1>$N$85:$N$86</formula1>
    </dataValidation>
    <dataValidation allowBlank="1" showInputMessage="1" showErrorMessage="1" promptTitle="NUMBER" prompt="This is number, no sybols" errorTitle="NUMBER" sqref="E8:G8"/>
    <dataValidation type="list" allowBlank="1" showInputMessage="1" showErrorMessage="1" sqref="E4:G4">
      <formula1>$C$114:$C$115</formula1>
    </dataValidation>
  </dataValidations>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
    <tabColor indexed="15"/>
  </sheetPr>
  <dimension ref="A1:R97"/>
  <sheetViews>
    <sheetView zoomScalePageLayoutView="0" workbookViewId="0" topLeftCell="A43">
      <selection activeCell="L5" sqref="L5"/>
    </sheetView>
  </sheetViews>
  <sheetFormatPr defaultColWidth="9.140625" defaultRowHeight="12.75"/>
  <cols>
    <col min="1" max="1" width="3.8515625" style="34" customWidth="1"/>
    <col min="2" max="2" width="16.00390625" style="34" customWidth="1"/>
    <col min="3" max="3" width="4.28125" style="34" customWidth="1"/>
    <col min="4" max="4" width="3.7109375" style="34" customWidth="1"/>
    <col min="5" max="5" width="5.00390625" style="34" customWidth="1"/>
    <col min="6" max="6" width="4.00390625" style="34" customWidth="1"/>
    <col min="7" max="7" width="3.00390625" style="34" customWidth="1"/>
    <col min="8" max="8" width="3.28125" style="34" customWidth="1"/>
    <col min="9" max="9" width="3.421875" style="34" customWidth="1"/>
    <col min="10" max="10" width="2.28125" style="34" customWidth="1"/>
    <col min="11" max="11" width="2.57421875" style="34" customWidth="1"/>
    <col min="12" max="12" width="2.8515625" style="34" customWidth="1"/>
    <col min="13" max="13" width="4.140625" style="34" customWidth="1"/>
    <col min="14" max="14" width="4.00390625" style="35" customWidth="1"/>
    <col min="15" max="15" width="18.57421875" style="34" customWidth="1"/>
    <col min="16" max="16" width="7.28125" style="34" customWidth="1"/>
    <col min="17" max="17" width="10.140625" style="38" customWidth="1"/>
    <col min="18" max="16384" width="9.140625" style="34" customWidth="1"/>
  </cols>
  <sheetData>
    <row r="1" spans="1:17" ht="15.75">
      <c r="A1" s="643" t="str">
        <f>CONCATENATE("PAYABLE AT   ",SH!E16,"")</f>
        <v>PAYABLE AT   STO, ELURU</v>
      </c>
      <c r="B1" s="643"/>
      <c r="C1" s="643"/>
      <c r="D1" s="643"/>
      <c r="E1" s="643"/>
      <c r="F1" s="643"/>
      <c r="G1" s="643"/>
      <c r="H1" s="643"/>
      <c r="I1" s="643"/>
      <c r="J1" s="643"/>
      <c r="K1" s="643"/>
      <c r="L1" s="643"/>
      <c r="M1" s="643"/>
      <c r="N1" s="643"/>
      <c r="O1" s="643"/>
      <c r="P1" s="643"/>
      <c r="Q1" s="643"/>
    </row>
    <row r="2" spans="1:17" ht="12.75">
      <c r="A2" s="638" t="str">
        <f>CONCATENATE("CLAIM FOR PREPONEMENT FIXATION FOR THE PERIOD FROM JULY,2008 TO ",SH!F21," ",SH!G21,"")</f>
        <v>CLAIM FOR PREPONEMENT FIXATION FOR THE PERIOD FROM JULY,2008 TO OCT 2011</v>
      </c>
      <c r="B2" s="638"/>
      <c r="C2" s="638"/>
      <c r="D2" s="638"/>
      <c r="E2" s="638"/>
      <c r="F2" s="638"/>
      <c r="G2" s="638"/>
      <c r="H2" s="638"/>
      <c r="I2" s="638"/>
      <c r="J2" s="638"/>
      <c r="K2" s="638"/>
      <c r="L2" s="638"/>
      <c r="M2" s="638"/>
      <c r="N2" s="638"/>
      <c r="O2" s="638"/>
      <c r="P2" s="638"/>
      <c r="Q2" s="638"/>
    </row>
    <row r="3" spans="1:17" s="39" customFormat="1" ht="15">
      <c r="A3" s="637" t="s">
        <v>3</v>
      </c>
      <c r="B3" s="637"/>
      <c r="C3" s="637"/>
      <c r="D3" s="637"/>
      <c r="E3" s="637"/>
      <c r="F3" s="637"/>
      <c r="G3" s="637"/>
      <c r="H3" s="637"/>
      <c r="I3" s="637"/>
      <c r="J3" s="637"/>
      <c r="K3" s="637"/>
      <c r="L3" s="637"/>
      <c r="M3" s="637"/>
      <c r="N3" s="637"/>
      <c r="O3" s="637"/>
      <c r="P3" s="637"/>
      <c r="Q3" s="637"/>
    </row>
    <row r="4" spans="1:17" s="39" customFormat="1" ht="18">
      <c r="A4" s="644" t="s">
        <v>10</v>
      </c>
      <c r="B4" s="644"/>
      <c r="C4" s="644"/>
      <c r="D4" s="644"/>
      <c r="E4" s="644"/>
      <c r="F4" s="644"/>
      <c r="G4" s="644"/>
      <c r="H4" s="644"/>
      <c r="I4" s="644"/>
      <c r="J4" s="644"/>
      <c r="K4" s="644"/>
      <c r="L4" s="644"/>
      <c r="M4" s="644"/>
      <c r="N4" s="644"/>
      <c r="O4" s="644"/>
      <c r="P4" s="644"/>
      <c r="Q4" s="644"/>
    </row>
    <row r="5" spans="1:17" s="2" customFormat="1" ht="19.5" customHeight="1">
      <c r="A5" s="62"/>
      <c r="B5" s="645" t="s">
        <v>11</v>
      </c>
      <c r="C5" s="645"/>
      <c r="D5" s="645"/>
      <c r="E5" s="645"/>
      <c r="F5" s="23">
        <v>1</v>
      </c>
      <c r="G5" s="139">
        <v>1</v>
      </c>
      <c r="H5" s="63"/>
      <c r="I5" s="23">
        <v>2</v>
      </c>
      <c r="J5" s="146">
        <v>0</v>
      </c>
      <c r="K5" s="146">
        <v>1</v>
      </c>
      <c r="L5" s="147">
        <v>1</v>
      </c>
      <c r="M5" s="64"/>
      <c r="N5" s="646" t="s">
        <v>12</v>
      </c>
      <c r="O5" s="646"/>
      <c r="P5" s="65" t="s">
        <v>4</v>
      </c>
      <c r="Q5" s="66"/>
    </row>
    <row r="6" spans="1:17" s="2" customFormat="1" ht="12.75">
      <c r="A6" s="41"/>
      <c r="B6" s="4" t="s">
        <v>13</v>
      </c>
      <c r="C6" s="4"/>
      <c r="D6" s="4"/>
      <c r="E6" s="11" t="s">
        <v>14</v>
      </c>
      <c r="F6" s="145">
        <f>SH!E101</f>
        <v>0</v>
      </c>
      <c r="G6" s="145">
        <f>SH!F124</f>
        <v>2</v>
      </c>
      <c r="H6" s="145">
        <f>SH!G102</f>
        <v>0</v>
      </c>
      <c r="I6" s="145">
        <f>SH!H101</f>
        <v>2</v>
      </c>
      <c r="J6" s="13"/>
      <c r="K6" s="13"/>
      <c r="L6" s="13"/>
      <c r="N6" s="635" t="s">
        <v>15</v>
      </c>
      <c r="O6" s="635"/>
      <c r="Q6" s="1"/>
    </row>
    <row r="7" spans="1:17" s="2" customFormat="1" ht="12.75">
      <c r="A7" s="41"/>
      <c r="B7" s="4" t="s">
        <v>16</v>
      </c>
      <c r="C7" s="4"/>
      <c r="D7" s="4"/>
      <c r="E7" s="11" t="s">
        <v>14</v>
      </c>
      <c r="F7" s="145">
        <f>SH!I101</f>
        <v>2</v>
      </c>
      <c r="G7" s="145">
        <f>SH!J101</f>
        <v>2</v>
      </c>
      <c r="H7" s="145">
        <f>SH!K101</f>
        <v>0</v>
      </c>
      <c r="I7" s="145">
        <f>SH!L101</f>
        <v>2</v>
      </c>
      <c r="J7" s="145">
        <f>SH!M101</f>
        <v>1</v>
      </c>
      <c r="K7" s="145">
        <f>SH!N101</f>
        <v>4</v>
      </c>
      <c r="L7" s="145">
        <f>SH!O101</f>
        <v>2</v>
      </c>
      <c r="N7" s="635" t="s">
        <v>229</v>
      </c>
      <c r="O7" s="635"/>
      <c r="P7" s="635"/>
      <c r="Q7" s="635"/>
    </row>
    <row r="8" spans="1:17" s="2" customFormat="1" ht="12.75">
      <c r="A8" s="41"/>
      <c r="B8" s="4" t="s">
        <v>17</v>
      </c>
      <c r="C8" s="4"/>
      <c r="D8" s="4"/>
      <c r="E8" s="11" t="s">
        <v>14</v>
      </c>
      <c r="F8" s="3" t="s">
        <v>18</v>
      </c>
      <c r="G8" s="13"/>
      <c r="H8" s="13"/>
      <c r="I8" s="13"/>
      <c r="J8" s="13"/>
      <c r="K8" s="13"/>
      <c r="L8" s="13"/>
      <c r="N8" s="594" t="s">
        <v>311</v>
      </c>
      <c r="O8" s="595"/>
      <c r="P8" s="594" t="str">
        <f>SH!E14</f>
        <v>M.P. PEDAPADU</v>
      </c>
      <c r="Q8" s="595"/>
    </row>
    <row r="9" spans="1:17" s="2" customFormat="1" ht="12.75">
      <c r="A9" s="41"/>
      <c r="B9" s="4" t="s">
        <v>19</v>
      </c>
      <c r="C9" s="4"/>
      <c r="D9" s="4"/>
      <c r="E9" s="11" t="s">
        <v>14</v>
      </c>
      <c r="F9" s="23">
        <f>SH!E109</f>
        <v>0</v>
      </c>
      <c r="G9" s="23">
        <f>SH!F132</f>
        <v>8</v>
      </c>
      <c r="H9" s="23">
        <f>SH!G110</f>
        <v>0</v>
      </c>
      <c r="I9" s="23">
        <f>SH!H109</f>
        <v>5</v>
      </c>
      <c r="J9" s="13"/>
      <c r="K9" s="13"/>
      <c r="L9" s="13"/>
      <c r="N9" s="208" t="s">
        <v>312</v>
      </c>
      <c r="O9" s="36"/>
      <c r="P9" s="208" t="str">
        <f>SH!E18</f>
        <v>SBI, ELURU</v>
      </c>
      <c r="Q9" s="36"/>
    </row>
    <row r="10" spans="1:17" s="2" customFormat="1" ht="19.5" customHeight="1">
      <c r="A10" s="67"/>
      <c r="B10" s="68" t="s">
        <v>20</v>
      </c>
      <c r="C10" s="68"/>
      <c r="D10" s="68"/>
      <c r="E10" s="69" t="s">
        <v>14</v>
      </c>
      <c r="F10" s="498" t="s">
        <v>530</v>
      </c>
      <c r="G10" s="70"/>
      <c r="H10" s="70"/>
      <c r="I10" s="70"/>
      <c r="J10" s="71"/>
      <c r="K10" s="71"/>
      <c r="L10" s="71"/>
      <c r="M10" s="71"/>
      <c r="N10" s="72"/>
      <c r="O10" s="69" t="s">
        <v>21</v>
      </c>
      <c r="P10" s="73" t="s">
        <v>22</v>
      </c>
      <c r="Q10" s="74"/>
    </row>
    <row r="11" spans="1:17" s="26" customFormat="1" ht="15" customHeight="1">
      <c r="A11" s="633" t="e">
        <f>[1]!rswords(A36)</f>
        <v>#NAME?</v>
      </c>
      <c r="B11" s="42" t="s">
        <v>23</v>
      </c>
      <c r="N11" s="640" t="s">
        <v>24</v>
      </c>
      <c r="O11" s="640"/>
      <c r="Q11" s="43" t="s">
        <v>25</v>
      </c>
    </row>
    <row r="12" spans="1:17" s="2" customFormat="1" ht="12.75">
      <c r="A12" s="634"/>
      <c r="B12" s="4" t="s">
        <v>26</v>
      </c>
      <c r="C12" s="25">
        <v>2</v>
      </c>
      <c r="D12" s="25">
        <v>2</v>
      </c>
      <c r="E12" s="25">
        <v>0</v>
      </c>
      <c r="F12" s="25">
        <v>2</v>
      </c>
      <c r="G12" s="639" t="s">
        <v>27</v>
      </c>
      <c r="H12" s="639"/>
      <c r="I12" s="639"/>
      <c r="J12" s="639"/>
      <c r="K12" s="639"/>
      <c r="L12" s="639"/>
      <c r="M12" s="639"/>
      <c r="N12" s="11">
        <v>1</v>
      </c>
      <c r="O12" s="4" t="s">
        <v>28</v>
      </c>
      <c r="P12" s="4" t="s">
        <v>29</v>
      </c>
      <c r="Q12" s="1"/>
    </row>
    <row r="13" spans="1:17" s="2" customFormat="1" ht="12.75">
      <c r="A13" s="634"/>
      <c r="B13" s="4"/>
      <c r="C13" s="13"/>
      <c r="D13" s="13"/>
      <c r="E13" s="13"/>
      <c r="F13" s="13"/>
      <c r="G13" s="4"/>
      <c r="H13" s="4"/>
      <c r="I13" s="4"/>
      <c r="J13" s="4"/>
      <c r="K13" s="4"/>
      <c r="L13" s="4"/>
      <c r="N13" s="11">
        <v>2</v>
      </c>
      <c r="O13" s="4" t="s">
        <v>30</v>
      </c>
      <c r="P13" s="4" t="s">
        <v>29</v>
      </c>
      <c r="Q13" s="29"/>
    </row>
    <row r="14" spans="1:17" s="2" customFormat="1" ht="12.75">
      <c r="A14" s="634"/>
      <c r="B14" s="4" t="s">
        <v>31</v>
      </c>
      <c r="C14" s="25">
        <v>0</v>
      </c>
      <c r="D14" s="25">
        <v>1</v>
      </c>
      <c r="E14" s="1"/>
      <c r="F14" s="1"/>
      <c r="G14" s="137" t="s">
        <v>32</v>
      </c>
      <c r="H14" s="138"/>
      <c r="I14" s="138"/>
      <c r="J14" s="138"/>
      <c r="K14" s="138"/>
      <c r="L14" s="138"/>
      <c r="M14" s="140"/>
      <c r="N14" s="11">
        <v>3</v>
      </c>
      <c r="O14" s="4" t="s">
        <v>33</v>
      </c>
      <c r="P14" s="4" t="s">
        <v>29</v>
      </c>
      <c r="Q14" s="29"/>
    </row>
    <row r="15" spans="1:17" s="2" customFormat="1" ht="12.75" customHeight="1">
      <c r="A15" s="634"/>
      <c r="B15" s="4"/>
      <c r="C15" s="13"/>
      <c r="D15" s="13"/>
      <c r="E15" s="13"/>
      <c r="F15" s="13"/>
      <c r="G15" s="4"/>
      <c r="H15" s="4"/>
      <c r="I15" s="4"/>
      <c r="J15" s="4"/>
      <c r="K15" s="4"/>
      <c r="L15" s="4"/>
      <c r="N15" s="11">
        <v>4</v>
      </c>
      <c r="O15" s="4" t="s">
        <v>34</v>
      </c>
      <c r="P15" s="4" t="s">
        <v>29</v>
      </c>
      <c r="Q15" s="29">
        <f>BILL!U56</f>
        <v>0</v>
      </c>
    </row>
    <row r="16" spans="1:17" s="2" customFormat="1" ht="15.75" customHeight="1">
      <c r="A16" s="634"/>
      <c r="B16" s="4" t="s">
        <v>35</v>
      </c>
      <c r="C16" s="25">
        <v>1</v>
      </c>
      <c r="D16" s="25">
        <v>0</v>
      </c>
      <c r="E16" s="25">
        <v>3</v>
      </c>
      <c r="F16" s="1"/>
      <c r="G16" s="647" t="s">
        <v>136</v>
      </c>
      <c r="H16" s="648"/>
      <c r="I16" s="648"/>
      <c r="J16" s="648"/>
      <c r="K16" s="648"/>
      <c r="L16" s="648"/>
      <c r="M16" s="648"/>
      <c r="N16" s="11">
        <v>5</v>
      </c>
      <c r="O16" s="4" t="s">
        <v>36</v>
      </c>
      <c r="P16" s="4" t="s">
        <v>29</v>
      </c>
      <c r="Q16" s="13"/>
    </row>
    <row r="17" spans="1:17" s="2" customFormat="1" ht="21" customHeight="1">
      <c r="A17" s="634"/>
      <c r="B17" s="4"/>
      <c r="C17" s="13"/>
      <c r="D17" s="13"/>
      <c r="E17" s="13"/>
      <c r="F17" s="13"/>
      <c r="G17" s="648"/>
      <c r="H17" s="648"/>
      <c r="I17" s="648"/>
      <c r="J17" s="648"/>
      <c r="K17" s="648"/>
      <c r="L17" s="648"/>
      <c r="M17" s="648"/>
      <c r="N17" s="11">
        <v>6</v>
      </c>
      <c r="O17" s="12" t="s">
        <v>37</v>
      </c>
      <c r="P17" s="4" t="s">
        <v>29</v>
      </c>
      <c r="Q17" s="29"/>
    </row>
    <row r="18" spans="1:17" s="2" customFormat="1" ht="12.75">
      <c r="A18" s="634"/>
      <c r="B18" s="4" t="s">
        <v>38</v>
      </c>
      <c r="C18" s="25"/>
      <c r="D18" s="25"/>
      <c r="E18" s="1"/>
      <c r="F18" s="1"/>
      <c r="G18" s="638"/>
      <c r="H18" s="638"/>
      <c r="I18" s="638"/>
      <c r="J18" s="638"/>
      <c r="K18" s="638"/>
      <c r="L18" s="638"/>
      <c r="N18" s="11">
        <v>7</v>
      </c>
      <c r="O18" s="4" t="s">
        <v>39</v>
      </c>
      <c r="P18" s="4" t="s">
        <v>29</v>
      </c>
      <c r="Q18" s="1"/>
    </row>
    <row r="19" spans="1:17" s="2" customFormat="1" ht="12.75">
      <c r="A19" s="634"/>
      <c r="B19" s="4"/>
      <c r="C19" s="13"/>
      <c r="D19" s="24"/>
      <c r="E19" s="13"/>
      <c r="F19" s="13"/>
      <c r="G19" s="4"/>
      <c r="H19" s="4"/>
      <c r="I19" s="4"/>
      <c r="J19" s="4"/>
      <c r="K19" s="4"/>
      <c r="L19" s="4"/>
      <c r="N19" s="11">
        <v>8</v>
      </c>
      <c r="O19" s="4" t="s">
        <v>40</v>
      </c>
      <c r="P19" s="4" t="s">
        <v>29</v>
      </c>
      <c r="Q19" s="1"/>
    </row>
    <row r="20" spans="1:17" s="2" customFormat="1" ht="12.75">
      <c r="A20" s="634"/>
      <c r="B20" s="4" t="s">
        <v>41</v>
      </c>
      <c r="C20" s="25">
        <v>0</v>
      </c>
      <c r="D20" s="25">
        <v>5</v>
      </c>
      <c r="E20" s="1"/>
      <c r="F20" s="1"/>
      <c r="G20" s="649" t="s">
        <v>42</v>
      </c>
      <c r="H20" s="649"/>
      <c r="I20" s="649"/>
      <c r="J20" s="649"/>
      <c r="K20" s="649"/>
      <c r="L20" s="649"/>
      <c r="M20" s="44"/>
      <c r="N20" s="11">
        <v>9</v>
      </c>
      <c r="O20" s="4" t="s">
        <v>43</v>
      </c>
      <c r="P20" s="4" t="s">
        <v>29</v>
      </c>
      <c r="Q20" s="1"/>
    </row>
    <row r="21" spans="1:17" s="2" customFormat="1" ht="12.75">
      <c r="A21" s="634"/>
      <c r="B21" s="4"/>
      <c r="C21" s="1"/>
      <c r="D21" s="1"/>
      <c r="E21" s="1"/>
      <c r="F21" s="1"/>
      <c r="G21" s="649"/>
      <c r="H21" s="649"/>
      <c r="I21" s="649"/>
      <c r="J21" s="649"/>
      <c r="K21" s="649"/>
      <c r="L21" s="649"/>
      <c r="M21" s="44"/>
      <c r="N21" s="11">
        <v>10</v>
      </c>
      <c r="O21" s="4" t="s">
        <v>44</v>
      </c>
      <c r="P21" s="4" t="s">
        <v>29</v>
      </c>
      <c r="Q21" s="1"/>
    </row>
    <row r="22" spans="1:17" s="2" customFormat="1" ht="12.75">
      <c r="A22" s="634"/>
      <c r="B22" s="4" t="s">
        <v>45</v>
      </c>
      <c r="C22" s="25">
        <v>0</v>
      </c>
      <c r="D22" s="25">
        <v>1</v>
      </c>
      <c r="E22" s="25">
        <v>0</v>
      </c>
      <c r="F22" s="1"/>
      <c r="G22" s="137" t="s">
        <v>46</v>
      </c>
      <c r="H22" s="138"/>
      <c r="I22" s="138"/>
      <c r="J22" s="138"/>
      <c r="K22" s="138"/>
      <c r="L22" s="142"/>
      <c r="N22" s="11">
        <v>11</v>
      </c>
      <c r="O22" s="4" t="s">
        <v>47</v>
      </c>
      <c r="P22" s="4" t="s">
        <v>29</v>
      </c>
      <c r="Q22" s="1"/>
    </row>
    <row r="23" spans="1:17" s="2" customFormat="1" ht="12.75" customHeight="1">
      <c r="A23" s="634"/>
      <c r="B23" s="4" t="s">
        <v>91</v>
      </c>
      <c r="D23" s="56" t="s">
        <v>7</v>
      </c>
      <c r="E23" s="4" t="s">
        <v>48</v>
      </c>
      <c r="K23" s="4"/>
      <c r="L23" s="141" t="s">
        <v>8</v>
      </c>
      <c r="N23" s="11">
        <v>12</v>
      </c>
      <c r="O23" s="4" t="s">
        <v>49</v>
      </c>
      <c r="P23" s="4"/>
      <c r="Q23" s="1"/>
    </row>
    <row r="24" spans="1:17" s="2" customFormat="1" ht="12.75">
      <c r="A24" s="634"/>
      <c r="B24" s="9" t="s">
        <v>50</v>
      </c>
      <c r="N24" s="11">
        <v>13</v>
      </c>
      <c r="O24" s="4" t="s">
        <v>51</v>
      </c>
      <c r="P24" s="4"/>
      <c r="Q24" s="1"/>
    </row>
    <row r="25" spans="1:17" s="2" customFormat="1" ht="12.75">
      <c r="A25" s="634"/>
      <c r="B25" s="79" t="s">
        <v>52</v>
      </c>
      <c r="C25" s="80"/>
      <c r="D25" s="80"/>
      <c r="E25" s="80"/>
      <c r="F25" s="80"/>
      <c r="G25" s="80"/>
      <c r="H25" s="80"/>
      <c r="I25" s="80"/>
      <c r="J25" s="80"/>
      <c r="K25" s="80"/>
      <c r="L25" s="80"/>
      <c r="M25" s="80"/>
      <c r="N25" s="11">
        <v>14</v>
      </c>
      <c r="O25" s="4" t="s">
        <v>53</v>
      </c>
      <c r="P25" s="4" t="s">
        <v>29</v>
      </c>
      <c r="Q25" s="1"/>
    </row>
    <row r="26" spans="1:17" s="2" customFormat="1" ht="15">
      <c r="A26" s="634"/>
      <c r="B26" s="4" t="s">
        <v>54</v>
      </c>
      <c r="C26" s="4"/>
      <c r="D26" s="4"/>
      <c r="E26" s="4"/>
      <c r="F26" s="4" t="s">
        <v>29</v>
      </c>
      <c r="G26" s="636">
        <f>bill2!N56</f>
        <v>3240</v>
      </c>
      <c r="H26" s="637"/>
      <c r="I26" s="637"/>
      <c r="J26" s="637"/>
      <c r="K26" s="637"/>
      <c r="L26" s="637"/>
      <c r="M26" s="45"/>
      <c r="N26" s="11">
        <v>15</v>
      </c>
      <c r="O26" s="4" t="s">
        <v>55</v>
      </c>
      <c r="P26" s="4" t="s">
        <v>29</v>
      </c>
      <c r="Q26" s="1"/>
    </row>
    <row r="27" spans="1:17" s="2" customFormat="1" ht="12.75">
      <c r="A27" s="634"/>
      <c r="B27" s="4" t="s">
        <v>56</v>
      </c>
      <c r="C27" s="4"/>
      <c r="D27" s="4"/>
      <c r="E27" s="4"/>
      <c r="F27" s="4" t="s">
        <v>29</v>
      </c>
      <c r="G27" s="595"/>
      <c r="H27" s="595"/>
      <c r="I27" s="595"/>
      <c r="J27" s="595"/>
      <c r="K27" s="595"/>
      <c r="L27" s="595"/>
      <c r="M27" s="46"/>
      <c r="N27" s="11">
        <v>16</v>
      </c>
      <c r="O27" s="4" t="s">
        <v>57</v>
      </c>
      <c r="P27" s="4" t="s">
        <v>29</v>
      </c>
      <c r="Q27" s="1"/>
    </row>
    <row r="28" spans="1:17" s="2" customFormat="1" ht="15">
      <c r="A28" s="634"/>
      <c r="B28" s="4" t="s">
        <v>58</v>
      </c>
      <c r="C28" s="4"/>
      <c r="D28" s="4"/>
      <c r="E28" s="4"/>
      <c r="F28" s="4" t="s">
        <v>29</v>
      </c>
      <c r="G28" s="636">
        <f>bill2!O56</f>
        <v>864</v>
      </c>
      <c r="H28" s="637"/>
      <c r="I28" s="637"/>
      <c r="J28" s="637"/>
      <c r="K28" s="637"/>
      <c r="L28" s="637"/>
      <c r="M28" s="45"/>
      <c r="N28" s="11">
        <v>17</v>
      </c>
      <c r="O28" s="4" t="s">
        <v>59</v>
      </c>
      <c r="P28" s="4" t="s">
        <v>29</v>
      </c>
      <c r="Q28" s="1"/>
    </row>
    <row r="29" spans="1:17" s="2" customFormat="1" ht="15" customHeight="1">
      <c r="A29" s="634"/>
      <c r="B29" s="10" t="s">
        <v>113</v>
      </c>
      <c r="C29" s="4"/>
      <c r="D29" s="4"/>
      <c r="E29" s="4"/>
      <c r="F29" s="4" t="s">
        <v>29</v>
      </c>
      <c r="G29" s="636"/>
      <c r="H29" s="636"/>
      <c r="I29" s="636"/>
      <c r="J29" s="636"/>
      <c r="K29" s="636"/>
      <c r="L29" s="636"/>
      <c r="M29" s="45"/>
      <c r="N29" s="11">
        <v>18</v>
      </c>
      <c r="O29" s="4" t="s">
        <v>112</v>
      </c>
      <c r="P29" s="4" t="s">
        <v>29</v>
      </c>
      <c r="Q29" s="1"/>
    </row>
    <row r="30" spans="1:17" s="2" customFormat="1" ht="15">
      <c r="A30" s="634"/>
      <c r="B30" s="3" t="s">
        <v>114</v>
      </c>
      <c r="C30" s="4"/>
      <c r="D30" s="4"/>
      <c r="E30" s="4"/>
      <c r="F30" s="4"/>
      <c r="G30" s="636">
        <f>bill2!P56</f>
        <v>399</v>
      </c>
      <c r="H30" s="636"/>
      <c r="I30" s="636"/>
      <c r="J30" s="636"/>
      <c r="K30" s="636"/>
      <c r="L30" s="636"/>
      <c r="M30" s="45"/>
      <c r="N30" s="11">
        <v>19</v>
      </c>
      <c r="O30" s="4" t="s">
        <v>87</v>
      </c>
      <c r="P30" s="4" t="s">
        <v>29</v>
      </c>
      <c r="Q30" s="1"/>
    </row>
    <row r="31" spans="1:17" s="2" customFormat="1" ht="22.5" customHeight="1">
      <c r="A31" s="634"/>
      <c r="B31" s="77" t="s">
        <v>60</v>
      </c>
      <c r="C31" s="77"/>
      <c r="D31" s="77"/>
      <c r="E31" s="77"/>
      <c r="F31" s="77" t="s">
        <v>29</v>
      </c>
      <c r="G31" s="641">
        <f>SUM(G26:G30)</f>
        <v>4503</v>
      </c>
      <c r="H31" s="642"/>
      <c r="I31" s="642"/>
      <c r="J31" s="642"/>
      <c r="K31" s="642"/>
      <c r="L31" s="642"/>
      <c r="M31" s="78"/>
      <c r="N31" s="11">
        <v>20</v>
      </c>
      <c r="O31" s="4" t="s">
        <v>208</v>
      </c>
      <c r="P31" s="4" t="s">
        <v>29</v>
      </c>
      <c r="Q31" s="29">
        <f>bill2!Q56</f>
        <v>124</v>
      </c>
    </row>
    <row r="32" spans="1:17" s="2" customFormat="1" ht="15" customHeight="1">
      <c r="A32" s="634"/>
      <c r="B32" s="77" t="s">
        <v>62</v>
      </c>
      <c r="C32" s="77"/>
      <c r="D32" s="77"/>
      <c r="E32" s="77"/>
      <c r="F32" s="77" t="s">
        <v>29</v>
      </c>
      <c r="G32" s="641">
        <f>Q33</f>
        <v>124</v>
      </c>
      <c r="H32" s="642"/>
      <c r="I32" s="642"/>
      <c r="J32" s="642"/>
      <c r="K32" s="642"/>
      <c r="L32" s="642"/>
      <c r="M32" s="78"/>
      <c r="N32" s="11">
        <v>21</v>
      </c>
      <c r="O32" s="10" t="s">
        <v>122</v>
      </c>
      <c r="P32" s="4" t="s">
        <v>29</v>
      </c>
      <c r="Q32" s="29"/>
    </row>
    <row r="33" spans="1:17" s="2" customFormat="1" ht="14.25" customHeight="1">
      <c r="A33" s="661" t="s">
        <v>315</v>
      </c>
      <c r="B33" s="77" t="s">
        <v>63</v>
      </c>
      <c r="C33" s="77"/>
      <c r="D33" s="77"/>
      <c r="E33" s="77"/>
      <c r="F33" s="77" t="s">
        <v>29</v>
      </c>
      <c r="G33" s="641">
        <f>G31-G32</f>
        <v>4379</v>
      </c>
      <c r="H33" s="642"/>
      <c r="I33" s="642"/>
      <c r="J33" s="642"/>
      <c r="K33" s="642"/>
      <c r="L33" s="642"/>
      <c r="M33" s="78"/>
      <c r="N33" s="662" t="s">
        <v>64</v>
      </c>
      <c r="O33" s="662"/>
      <c r="P33" s="662"/>
      <c r="Q33" s="548">
        <f>bill2!Q56</f>
        <v>124</v>
      </c>
    </row>
    <row r="34" spans="1:17" s="45" customFormat="1" ht="15" customHeight="1">
      <c r="A34" s="661"/>
      <c r="B34" s="659" t="s">
        <v>111</v>
      </c>
      <c r="C34" s="659"/>
      <c r="D34" s="659"/>
      <c r="E34" s="659"/>
      <c r="F34" s="75"/>
      <c r="G34" s="75"/>
      <c r="H34" s="75"/>
      <c r="I34" s="75"/>
      <c r="J34" s="75"/>
      <c r="K34" s="75"/>
      <c r="L34" s="75"/>
      <c r="M34" s="2"/>
      <c r="N34" s="658" t="s">
        <v>90</v>
      </c>
      <c r="O34" s="658"/>
      <c r="P34" s="658"/>
      <c r="Q34" s="47"/>
    </row>
    <row r="35" spans="1:17" s="45" customFormat="1" ht="15" customHeight="1">
      <c r="A35" s="661"/>
      <c r="B35" s="657" t="e">
        <f>bill2!F57</f>
        <v>#NAME?</v>
      </c>
      <c r="C35" s="657"/>
      <c r="D35" s="657"/>
      <c r="E35" s="657"/>
      <c r="F35" s="657"/>
      <c r="G35" s="657"/>
      <c r="H35" s="657"/>
      <c r="I35" s="657"/>
      <c r="J35" s="657"/>
      <c r="K35" s="657"/>
      <c r="L35" s="657"/>
      <c r="M35" s="657"/>
      <c r="N35" s="657"/>
      <c r="O35" s="657"/>
      <c r="P35" s="61"/>
      <c r="Q35" s="47"/>
    </row>
    <row r="36" spans="1:17" s="2" customFormat="1" ht="44.25" customHeight="1">
      <c r="A36" s="204">
        <f>G33+1</f>
        <v>4380</v>
      </c>
      <c r="B36" s="26"/>
      <c r="C36" s="48"/>
      <c r="D36" s="48"/>
      <c r="E36" s="48"/>
      <c r="F36" s="48"/>
      <c r="G36" s="48"/>
      <c r="H36" s="48"/>
      <c r="I36" s="48"/>
      <c r="J36" s="48"/>
      <c r="K36" s="48"/>
      <c r="L36" s="48"/>
      <c r="M36" s="26"/>
      <c r="N36" s="27"/>
      <c r="O36" s="651" t="str">
        <f>CONCATENATE("Mandal Educational Officer,
",SH!E6," Mandal,        Visakhapatnam Dt.")</f>
        <v>Mandal Educational Officer,
PEDAPADU Mandal,        Visakhapatnam Dt.</v>
      </c>
      <c r="P36" s="638"/>
      <c r="Q36" s="638"/>
    </row>
    <row r="37" spans="1:17" s="26" customFormat="1" ht="21" customHeight="1">
      <c r="A37" s="41" t="s">
        <v>29</v>
      </c>
      <c r="B37" s="660" t="s">
        <v>65</v>
      </c>
      <c r="C37" s="660"/>
      <c r="D37" s="660"/>
      <c r="E37" s="660"/>
      <c r="F37" s="660"/>
      <c r="G37" s="660"/>
      <c r="H37" s="660"/>
      <c r="I37" s="660"/>
      <c r="J37" s="660"/>
      <c r="K37" s="660"/>
      <c r="L37" s="660"/>
      <c r="M37" s="660"/>
      <c r="N37" s="660"/>
      <c r="O37" s="660"/>
      <c r="P37" s="660"/>
      <c r="Q37" s="660"/>
    </row>
    <row r="38" spans="1:17" s="26" customFormat="1" ht="81.75" customHeight="1">
      <c r="A38" s="28"/>
      <c r="B38" s="663" t="s">
        <v>115</v>
      </c>
      <c r="C38" s="663"/>
      <c r="D38" s="663"/>
      <c r="E38" s="663"/>
      <c r="F38" s="663"/>
      <c r="G38" s="663"/>
      <c r="H38" s="663"/>
      <c r="I38" s="663"/>
      <c r="J38" s="663"/>
      <c r="K38" s="663"/>
      <c r="L38" s="663"/>
      <c r="M38" s="663"/>
      <c r="N38" s="663"/>
      <c r="O38" s="663"/>
      <c r="P38" s="663"/>
      <c r="Q38" s="663"/>
    </row>
    <row r="39" spans="1:17" s="26" customFormat="1" ht="26.25" customHeight="1">
      <c r="A39" s="28"/>
      <c r="B39" s="28"/>
      <c r="C39" s="28"/>
      <c r="D39" s="28"/>
      <c r="E39" s="28"/>
      <c r="F39" s="28"/>
      <c r="G39" s="28"/>
      <c r="H39" s="656" t="s">
        <v>88</v>
      </c>
      <c r="I39" s="656"/>
      <c r="J39" s="656"/>
      <c r="K39" s="656"/>
      <c r="L39" s="656"/>
      <c r="M39" s="656"/>
      <c r="N39" s="656"/>
      <c r="O39" s="656"/>
      <c r="P39" s="656"/>
      <c r="Q39" s="656"/>
    </row>
    <row r="40" spans="1:17" s="26" customFormat="1" ht="25.5" customHeight="1">
      <c r="A40" s="28"/>
      <c r="B40" s="28"/>
      <c r="C40" s="28"/>
      <c r="D40" s="28"/>
      <c r="E40" s="28"/>
      <c r="F40" s="28"/>
      <c r="G40" s="28"/>
      <c r="H40" s="656" t="s">
        <v>89</v>
      </c>
      <c r="I40" s="656"/>
      <c r="J40" s="656"/>
      <c r="K40" s="656"/>
      <c r="L40" s="656"/>
      <c r="M40" s="656"/>
      <c r="N40" s="656"/>
      <c r="O40" s="656"/>
      <c r="P40" s="656"/>
      <c r="Q40" s="656"/>
    </row>
    <row r="41" spans="1:17" s="26" customFormat="1" ht="12.75">
      <c r="A41" s="28"/>
      <c r="B41" s="28"/>
      <c r="C41" s="28"/>
      <c r="D41" s="28"/>
      <c r="E41" s="28"/>
      <c r="F41" s="28"/>
      <c r="G41" s="28"/>
      <c r="N41" s="27"/>
      <c r="Q41" s="49"/>
    </row>
    <row r="42" spans="1:17" s="26" customFormat="1" ht="12.75">
      <c r="A42" s="28"/>
      <c r="B42" s="28"/>
      <c r="C42" s="28"/>
      <c r="D42" s="28"/>
      <c r="E42" s="28"/>
      <c r="F42" s="28"/>
      <c r="G42" s="28"/>
      <c r="N42" s="26" t="s">
        <v>66</v>
      </c>
      <c r="Q42" s="49"/>
    </row>
    <row r="43" spans="1:17" s="26" customFormat="1" ht="12.75">
      <c r="A43" s="28"/>
      <c r="N43" s="27"/>
      <c r="Q43" s="49"/>
    </row>
    <row r="44" spans="1:17" s="26" customFormat="1" ht="12.75">
      <c r="A44" s="664"/>
      <c r="B44" s="664"/>
      <c r="C44" s="664"/>
      <c r="D44" s="664"/>
      <c r="E44" s="664"/>
      <c r="F44" s="664"/>
      <c r="G44" s="664"/>
      <c r="H44" s="664"/>
      <c r="I44" s="664"/>
      <c r="J44" s="664"/>
      <c r="K44" s="664"/>
      <c r="L44" s="664"/>
      <c r="M44" s="664"/>
      <c r="N44" s="664"/>
      <c r="O44" s="664"/>
      <c r="P44" s="664"/>
      <c r="Q44" s="664"/>
    </row>
    <row r="45" spans="1:17" s="39" customFormat="1" ht="18">
      <c r="A45" s="655"/>
      <c r="B45" s="644"/>
      <c r="C45" s="644"/>
      <c r="D45" s="644"/>
      <c r="E45" s="644"/>
      <c r="F45" s="644"/>
      <c r="G45" s="644"/>
      <c r="H45" s="644"/>
      <c r="I45" s="644"/>
      <c r="J45" s="644"/>
      <c r="K45" s="644"/>
      <c r="L45" s="644"/>
      <c r="M45" s="644"/>
      <c r="N45" s="644"/>
      <c r="O45" s="644"/>
      <c r="P45" s="644"/>
      <c r="Q45" s="644"/>
    </row>
    <row r="46" spans="1:17" s="2" customFormat="1" ht="24.75" customHeight="1">
      <c r="A46" s="4"/>
      <c r="B46" s="4"/>
      <c r="C46" s="4"/>
      <c r="D46" s="4"/>
      <c r="E46" s="4"/>
      <c r="F46" s="4"/>
      <c r="G46" s="4"/>
      <c r="H46" s="4"/>
      <c r="I46" s="4"/>
      <c r="J46" s="4"/>
      <c r="K46" s="4"/>
      <c r="L46" s="4"/>
      <c r="M46" s="4"/>
      <c r="N46" s="11"/>
      <c r="O46" s="29"/>
      <c r="Q46" s="1"/>
    </row>
    <row r="47" spans="1:18" s="2" customFormat="1" ht="17.25" customHeight="1">
      <c r="A47" s="4"/>
      <c r="B47" s="4"/>
      <c r="C47" s="4"/>
      <c r="D47" s="4"/>
      <c r="E47" s="4"/>
      <c r="F47" s="4"/>
      <c r="G47" s="4"/>
      <c r="H47" s="4"/>
      <c r="I47" s="4"/>
      <c r="J47" s="4"/>
      <c r="K47" s="4"/>
      <c r="L47" s="4"/>
      <c r="M47" s="4"/>
      <c r="N47" s="11"/>
      <c r="O47" s="29"/>
      <c r="Q47" s="1"/>
      <c r="R47" s="36"/>
    </row>
    <row r="48" spans="1:17" s="2" customFormat="1" ht="16.5" customHeight="1">
      <c r="A48" s="4"/>
      <c r="B48" s="4"/>
      <c r="C48" s="4"/>
      <c r="D48" s="4"/>
      <c r="E48" s="4"/>
      <c r="F48" s="4"/>
      <c r="G48" s="4"/>
      <c r="H48" s="4"/>
      <c r="I48" s="4"/>
      <c r="J48" s="4"/>
      <c r="K48" s="4"/>
      <c r="L48" s="4"/>
      <c r="M48" s="4"/>
      <c r="N48" s="11"/>
      <c r="O48" s="6"/>
      <c r="Q48" s="1"/>
    </row>
    <row r="49" spans="1:17" s="2" customFormat="1" ht="12.75">
      <c r="A49" s="4"/>
      <c r="B49" s="143"/>
      <c r="C49" s="660"/>
      <c r="D49" s="660"/>
      <c r="E49" s="660"/>
      <c r="F49" s="660"/>
      <c r="G49" s="660"/>
      <c r="H49" s="660"/>
      <c r="I49" s="660"/>
      <c r="J49" s="4"/>
      <c r="K49" s="660"/>
      <c r="L49" s="660"/>
      <c r="M49" s="660"/>
      <c r="N49" s="660"/>
      <c r="O49" s="43"/>
      <c r="P49" s="660"/>
      <c r="Q49" s="660"/>
    </row>
    <row r="50" spans="1:17" s="2" customFormat="1" ht="12.75">
      <c r="A50" s="4"/>
      <c r="B50" s="163"/>
      <c r="C50" s="43"/>
      <c r="D50" s="43"/>
      <c r="E50" s="43"/>
      <c r="F50" s="43"/>
      <c r="G50" s="43"/>
      <c r="H50" s="43"/>
      <c r="I50" s="43"/>
      <c r="J50" s="4"/>
      <c r="K50" s="43"/>
      <c r="L50" s="43"/>
      <c r="M50" s="43"/>
      <c r="N50" s="43"/>
      <c r="O50" s="43"/>
      <c r="P50" s="43"/>
      <c r="Q50" s="43"/>
    </row>
    <row r="51" spans="1:17" s="2" customFormat="1" ht="12.75">
      <c r="A51" s="4"/>
      <c r="B51" s="163"/>
      <c r="C51" s="43"/>
      <c r="D51" s="43"/>
      <c r="E51" s="43"/>
      <c r="F51" s="43"/>
      <c r="G51" s="43"/>
      <c r="H51" s="43"/>
      <c r="I51" s="43"/>
      <c r="J51" s="4"/>
      <c r="K51" s="43"/>
      <c r="L51" s="43"/>
      <c r="M51" s="43"/>
      <c r="N51" s="43"/>
      <c r="O51" s="43"/>
      <c r="P51" s="43"/>
      <c r="Q51" s="43"/>
    </row>
    <row r="52" spans="1:17" s="2" customFormat="1" ht="12.75">
      <c r="A52" s="4"/>
      <c r="B52" s="163"/>
      <c r="C52" s="13"/>
      <c r="D52" s="60"/>
      <c r="E52" s="13"/>
      <c r="F52" s="4"/>
      <c r="G52" s="6"/>
      <c r="H52" s="6"/>
      <c r="I52" s="6"/>
      <c r="J52" s="4"/>
      <c r="K52" s="6"/>
      <c r="L52" s="6"/>
      <c r="M52" s="6"/>
      <c r="N52" s="6"/>
      <c r="O52" s="13"/>
      <c r="Q52" s="1"/>
    </row>
    <row r="53" spans="1:17" s="2" customFormat="1" ht="12.75">
      <c r="A53" s="4"/>
      <c r="B53" s="10"/>
      <c r="C53" s="13"/>
      <c r="D53" s="60"/>
      <c r="E53" s="13"/>
      <c r="F53" s="4"/>
      <c r="G53" s="13"/>
      <c r="H53" s="13"/>
      <c r="I53" s="13"/>
      <c r="J53" s="4"/>
      <c r="K53" s="13"/>
      <c r="L53" s="13"/>
      <c r="M53" s="13"/>
      <c r="N53" s="13"/>
      <c r="O53" s="13"/>
      <c r="Q53" s="1"/>
    </row>
    <row r="54" spans="1:17" s="2" customFormat="1" ht="12.75">
      <c r="A54" s="4"/>
      <c r="B54" s="10"/>
      <c r="C54" s="13"/>
      <c r="D54" s="60"/>
      <c r="E54" s="13"/>
      <c r="F54" s="4"/>
      <c r="G54" s="13"/>
      <c r="H54" s="13"/>
      <c r="I54" s="13"/>
      <c r="J54" s="4"/>
      <c r="K54" s="13"/>
      <c r="L54" s="13"/>
      <c r="M54" s="13"/>
      <c r="N54" s="13"/>
      <c r="O54" s="13"/>
      <c r="Q54" s="1"/>
    </row>
    <row r="55" spans="1:17" s="2" customFormat="1" ht="12.75">
      <c r="A55" s="4"/>
      <c r="B55" s="10"/>
      <c r="C55" s="13"/>
      <c r="D55" s="60"/>
      <c r="E55" s="13"/>
      <c r="F55" s="4"/>
      <c r="G55" s="13"/>
      <c r="H55" s="13"/>
      <c r="I55" s="13"/>
      <c r="J55" s="4"/>
      <c r="K55" s="13"/>
      <c r="L55" s="13"/>
      <c r="M55" s="13"/>
      <c r="N55" s="13"/>
      <c r="O55" s="13"/>
      <c r="Q55" s="1"/>
    </row>
    <row r="56" spans="1:17" s="2" customFormat="1" ht="12.75">
      <c r="A56" s="4"/>
      <c r="B56" s="10"/>
      <c r="C56" s="13"/>
      <c r="D56" s="60"/>
      <c r="E56" s="13"/>
      <c r="F56" s="4"/>
      <c r="G56" s="13"/>
      <c r="H56" s="13"/>
      <c r="I56" s="13"/>
      <c r="J56" s="4"/>
      <c r="K56" s="13"/>
      <c r="L56" s="13"/>
      <c r="M56" s="13"/>
      <c r="N56" s="13"/>
      <c r="O56" s="13"/>
      <c r="Q56" s="1"/>
    </row>
    <row r="57" spans="1:17" s="2" customFormat="1" ht="12.75">
      <c r="A57" s="4"/>
      <c r="B57" s="10"/>
      <c r="C57" s="13"/>
      <c r="D57" s="60"/>
      <c r="E57" s="13"/>
      <c r="F57" s="4"/>
      <c r="G57" s="13"/>
      <c r="H57" s="13"/>
      <c r="I57" s="13"/>
      <c r="J57" s="4"/>
      <c r="K57" s="13"/>
      <c r="L57" s="13"/>
      <c r="M57" s="13"/>
      <c r="N57" s="13"/>
      <c r="O57" s="13"/>
      <c r="Q57" s="1"/>
    </row>
    <row r="58" spans="1:17" s="2" customFormat="1" ht="12.75">
      <c r="A58" s="4"/>
      <c r="B58" s="10"/>
      <c r="C58" s="13"/>
      <c r="D58" s="60"/>
      <c r="E58" s="13"/>
      <c r="F58" s="4"/>
      <c r="G58" s="13"/>
      <c r="H58" s="13"/>
      <c r="I58" s="13"/>
      <c r="J58" s="4"/>
      <c r="K58" s="13"/>
      <c r="L58" s="13"/>
      <c r="M58" s="13"/>
      <c r="N58" s="13"/>
      <c r="O58" s="13"/>
      <c r="Q58" s="1"/>
    </row>
    <row r="59" spans="1:17" s="2" customFormat="1" ht="12.75">
      <c r="A59" s="4"/>
      <c r="B59" s="10"/>
      <c r="C59" s="13"/>
      <c r="D59" s="60"/>
      <c r="E59" s="13"/>
      <c r="F59" s="4"/>
      <c r="G59" s="13"/>
      <c r="H59" s="13"/>
      <c r="I59" s="13"/>
      <c r="J59" s="4"/>
      <c r="K59" s="13"/>
      <c r="L59" s="13"/>
      <c r="M59" s="13"/>
      <c r="N59" s="13"/>
      <c r="O59" s="13"/>
      <c r="Q59" s="1"/>
    </row>
    <row r="60" spans="1:17" s="2" customFormat="1" ht="12.75">
      <c r="A60" s="4"/>
      <c r="B60" s="10"/>
      <c r="C60" s="13"/>
      <c r="D60" s="60"/>
      <c r="E60" s="13"/>
      <c r="F60" s="4"/>
      <c r="G60" s="13"/>
      <c r="H60" s="13"/>
      <c r="I60" s="13"/>
      <c r="J60" s="4"/>
      <c r="K60" s="13"/>
      <c r="L60" s="13"/>
      <c r="M60" s="13"/>
      <c r="N60" s="13"/>
      <c r="O60" s="13"/>
      <c r="Q60" s="1"/>
    </row>
    <row r="61" spans="1:17" s="2" customFormat="1" ht="29.25" customHeight="1">
      <c r="A61" s="4"/>
      <c r="B61" s="4"/>
      <c r="C61" s="4"/>
      <c r="D61" s="4"/>
      <c r="E61" s="4"/>
      <c r="F61" s="4"/>
      <c r="G61" s="4"/>
      <c r="H61" s="4"/>
      <c r="I61" s="4"/>
      <c r="J61" s="4"/>
      <c r="K61" s="4"/>
      <c r="L61" s="4"/>
      <c r="M61" s="4"/>
      <c r="N61" s="11"/>
      <c r="Q61" s="1"/>
    </row>
    <row r="62" spans="14:17" s="2" customFormat="1" ht="26.25" customHeight="1">
      <c r="N62" s="30"/>
      <c r="O62" s="651"/>
      <c r="P62" s="638"/>
      <c r="Q62" s="638"/>
    </row>
    <row r="63" spans="14:17" s="2" customFormat="1" ht="12.75">
      <c r="N63" s="30"/>
      <c r="Q63" s="1"/>
    </row>
    <row r="64" spans="2:17" s="2" customFormat="1" ht="19.5" customHeight="1">
      <c r="B64" s="50"/>
      <c r="C64" s="652"/>
      <c r="D64" s="653"/>
      <c r="E64" s="654"/>
      <c r="F64" s="654"/>
      <c r="G64" s="654"/>
      <c r="H64" s="654"/>
      <c r="I64" s="654"/>
      <c r="J64" s="654"/>
      <c r="K64" s="654"/>
      <c r="L64" s="654"/>
      <c r="M64" s="654"/>
      <c r="N64" s="654"/>
      <c r="O64" s="654"/>
      <c r="P64" s="654"/>
      <c r="Q64" s="654"/>
    </row>
    <row r="65" spans="2:17" s="2" customFormat="1" ht="19.5" customHeight="1">
      <c r="B65" s="653"/>
      <c r="C65" s="653"/>
      <c r="D65" s="653"/>
      <c r="E65" s="653"/>
      <c r="F65" s="653"/>
      <c r="G65" s="653"/>
      <c r="H65" s="653"/>
      <c r="I65" s="653"/>
      <c r="J65" s="653"/>
      <c r="K65" s="653"/>
      <c r="L65" s="653"/>
      <c r="M65" s="653"/>
      <c r="N65" s="653"/>
      <c r="O65" s="653"/>
      <c r="P65" s="653"/>
      <c r="Q65" s="51"/>
    </row>
    <row r="66" spans="2:17" s="2" customFormat="1" ht="12.75">
      <c r="B66" s="638"/>
      <c r="C66" s="638"/>
      <c r="D66" s="638"/>
      <c r="E66" s="638"/>
      <c r="F66" s="638"/>
      <c r="G66" s="638"/>
      <c r="N66" s="30"/>
      <c r="Q66" s="1"/>
    </row>
    <row r="67" spans="14:17" s="2" customFormat="1" ht="32.25" customHeight="1">
      <c r="N67" s="30"/>
      <c r="O67" s="22"/>
      <c r="P67" s="6"/>
      <c r="Q67" s="13"/>
    </row>
    <row r="68" spans="2:17" s="2" customFormat="1" ht="26.25" customHeight="1">
      <c r="B68" s="651"/>
      <c r="C68" s="651"/>
      <c r="D68" s="651"/>
      <c r="E68" s="651"/>
      <c r="F68" s="651"/>
      <c r="G68" s="22"/>
      <c r="N68" s="30"/>
      <c r="O68" s="651"/>
      <c r="P68" s="638"/>
      <c r="Q68" s="638"/>
    </row>
    <row r="69" spans="1:17" ht="18">
      <c r="A69" s="655"/>
      <c r="B69" s="655"/>
      <c r="C69" s="655"/>
      <c r="D69" s="655"/>
      <c r="E69" s="655"/>
      <c r="F69" s="655"/>
      <c r="G69" s="655"/>
      <c r="H69" s="655"/>
      <c r="I69" s="655"/>
      <c r="J69" s="655"/>
      <c r="K69" s="655"/>
      <c r="L69" s="655"/>
      <c r="M69" s="655"/>
      <c r="N69" s="655"/>
      <c r="O69" s="655"/>
      <c r="P69" s="655"/>
      <c r="Q69" s="655"/>
    </row>
    <row r="70" spans="1:17" s="2" customFormat="1" ht="24.75" customHeight="1">
      <c r="A70" s="34"/>
      <c r="B70" s="76"/>
      <c r="N70" s="30"/>
      <c r="Q70" s="1"/>
    </row>
    <row r="71" spans="2:17" s="2" customFormat="1" ht="15">
      <c r="B71" s="102"/>
      <c r="N71" s="30"/>
      <c r="Q71" s="1"/>
    </row>
    <row r="72" spans="2:17" s="2" customFormat="1" ht="15">
      <c r="B72" s="102"/>
      <c r="Q72" s="1"/>
    </row>
    <row r="73" spans="2:17" s="2" customFormat="1" ht="15">
      <c r="B73" s="102"/>
      <c r="N73" s="30"/>
      <c r="Q73" s="1"/>
    </row>
    <row r="74" spans="2:17" s="2" customFormat="1" ht="15">
      <c r="B74" s="102"/>
      <c r="N74" s="30"/>
      <c r="Q74" s="1"/>
    </row>
    <row r="75" spans="2:17" s="2" customFormat="1" ht="15">
      <c r="B75" s="102"/>
      <c r="N75" s="30"/>
      <c r="Q75" s="1"/>
    </row>
    <row r="76" spans="2:17" s="2" customFormat="1" ht="12.75">
      <c r="B76" s="3"/>
      <c r="N76" s="30"/>
      <c r="Q76" s="1"/>
    </row>
    <row r="77" spans="14:17" s="2" customFormat="1" ht="12.75">
      <c r="N77" s="30"/>
      <c r="Q77" s="1"/>
    </row>
    <row r="78" spans="14:17" s="2" customFormat="1" ht="38.25" customHeight="1">
      <c r="N78" s="30"/>
      <c r="Q78" s="1"/>
    </row>
    <row r="79" spans="14:17" s="2" customFormat="1" ht="24.75" customHeight="1">
      <c r="N79" s="30"/>
      <c r="O79" s="651"/>
      <c r="P79" s="638"/>
      <c r="Q79" s="638"/>
    </row>
    <row r="80" spans="1:17" s="31" customFormat="1" ht="15">
      <c r="A80" s="650"/>
      <c r="B80" s="650"/>
      <c r="C80" s="650"/>
      <c r="D80" s="650"/>
      <c r="E80" s="650"/>
      <c r="F80" s="650"/>
      <c r="G80" s="650"/>
      <c r="H80" s="650"/>
      <c r="I80" s="650"/>
      <c r="J80" s="650"/>
      <c r="K80" s="650"/>
      <c r="L80" s="650"/>
      <c r="M80" s="650"/>
      <c r="N80" s="650"/>
      <c r="O80" s="650"/>
      <c r="P80" s="650"/>
      <c r="Q80" s="650"/>
    </row>
    <row r="81" spans="14:17" s="31" customFormat="1" ht="12.75">
      <c r="N81" s="32"/>
      <c r="Q81" s="52"/>
    </row>
    <row r="82" spans="14:17" s="31" customFormat="1" ht="12.75">
      <c r="N82" s="32"/>
      <c r="Q82" s="52"/>
    </row>
    <row r="83" spans="14:17" s="31" customFormat="1" ht="12.75">
      <c r="N83" s="32"/>
      <c r="Q83" s="52"/>
    </row>
    <row r="84" spans="14:17" s="31" customFormat="1" ht="12.75">
      <c r="N84" s="32"/>
      <c r="Q84" s="52"/>
    </row>
    <row r="85" spans="14:17" s="31" customFormat="1" ht="12.75">
      <c r="N85" s="32"/>
      <c r="Q85" s="52"/>
    </row>
    <row r="86" spans="14:17" s="31" customFormat="1" ht="12.75">
      <c r="N86" s="32"/>
      <c r="Q86" s="52"/>
    </row>
    <row r="87" spans="14:17" s="31" customFormat="1" ht="12.75">
      <c r="N87" s="32"/>
      <c r="Q87" s="52"/>
    </row>
    <row r="88" spans="14:17" s="31" customFormat="1" ht="12.75">
      <c r="N88" s="32"/>
      <c r="Q88" s="52"/>
    </row>
    <row r="89" spans="14:17" s="31" customFormat="1" ht="12.75">
      <c r="N89" s="32"/>
      <c r="Q89" s="52"/>
    </row>
    <row r="90" spans="1:15" ht="15.75">
      <c r="A90" s="31"/>
      <c r="B90" s="33"/>
      <c r="C90" s="33"/>
      <c r="D90" s="33"/>
      <c r="E90" s="33"/>
      <c r="F90" s="33"/>
      <c r="G90" s="33"/>
      <c r="H90" s="33"/>
      <c r="I90" s="33"/>
      <c r="J90" s="33"/>
      <c r="K90" s="33"/>
      <c r="L90" s="33"/>
      <c r="M90" s="33"/>
      <c r="N90" s="33"/>
      <c r="O90" s="33"/>
    </row>
    <row r="91" spans="2:10" ht="12.75" customHeight="1">
      <c r="B91" s="33"/>
      <c r="C91" s="33"/>
      <c r="D91" s="33"/>
      <c r="E91" s="33"/>
      <c r="F91" s="33"/>
      <c r="G91" s="33"/>
      <c r="H91" s="33"/>
      <c r="I91" s="33"/>
      <c r="J91" s="33"/>
    </row>
    <row r="92" spans="2:15" ht="15.75">
      <c r="B92" s="33"/>
      <c r="C92" s="33"/>
      <c r="D92" s="33"/>
      <c r="E92" s="33"/>
      <c r="F92" s="33"/>
      <c r="G92" s="33"/>
      <c r="H92" s="33"/>
      <c r="I92" s="33"/>
      <c r="J92" s="33"/>
      <c r="K92" s="33"/>
      <c r="L92" s="33"/>
      <c r="M92" s="33"/>
      <c r="N92" s="33"/>
      <c r="O92" s="33"/>
    </row>
    <row r="93" spans="2:15" ht="15.75">
      <c r="B93" s="33"/>
      <c r="C93" s="33"/>
      <c r="D93" s="33"/>
      <c r="E93" s="33"/>
      <c r="F93" s="33"/>
      <c r="G93" s="33"/>
      <c r="H93" s="33"/>
      <c r="I93" s="33"/>
      <c r="J93" s="33"/>
      <c r="K93" s="33"/>
      <c r="L93" s="33"/>
      <c r="M93" s="33"/>
      <c r="N93" s="33"/>
      <c r="O93" s="33"/>
    </row>
    <row r="94" spans="2:15" ht="15.75">
      <c r="B94" s="33"/>
      <c r="C94" s="33"/>
      <c r="D94" s="33"/>
      <c r="E94" s="33"/>
      <c r="F94" s="33"/>
      <c r="G94" s="33"/>
      <c r="H94" s="33"/>
      <c r="I94" s="33"/>
      <c r="J94" s="33"/>
      <c r="K94" s="33"/>
      <c r="L94" s="33"/>
      <c r="M94" s="33"/>
      <c r="N94" s="33"/>
      <c r="O94" s="33"/>
    </row>
    <row r="95" spans="2:15" ht="15.75">
      <c r="B95" s="33"/>
      <c r="C95" s="33"/>
      <c r="D95" s="33"/>
      <c r="E95" s="33"/>
      <c r="F95" s="33"/>
      <c r="G95" s="33"/>
      <c r="H95" s="33"/>
      <c r="I95" s="33"/>
      <c r="J95" s="33"/>
      <c r="K95" s="33"/>
      <c r="L95" s="33"/>
      <c r="M95" s="33"/>
      <c r="N95" s="33"/>
      <c r="O95" s="33"/>
    </row>
    <row r="96" spans="2:15" ht="15.75">
      <c r="B96" s="33"/>
      <c r="C96" s="33"/>
      <c r="D96" s="33"/>
      <c r="E96" s="33"/>
      <c r="F96" s="33"/>
      <c r="G96" s="33"/>
      <c r="H96" s="33"/>
      <c r="I96" s="33"/>
      <c r="J96" s="33"/>
      <c r="K96" s="33"/>
      <c r="L96" s="33"/>
      <c r="M96" s="33"/>
      <c r="N96" s="33"/>
      <c r="O96" s="33"/>
    </row>
    <row r="97" spans="2:9" ht="15.75">
      <c r="B97" s="33"/>
      <c r="C97" s="33"/>
      <c r="D97" s="33"/>
      <c r="E97" s="33"/>
      <c r="F97" s="33"/>
      <c r="G97" s="33"/>
      <c r="H97" s="33"/>
      <c r="I97" s="33"/>
    </row>
  </sheetData>
  <sheetProtection/>
  <mergeCells count="50">
    <mergeCell ref="P49:Q49"/>
    <mergeCell ref="K49:N49"/>
    <mergeCell ref="F49:I49"/>
    <mergeCell ref="C49:E49"/>
    <mergeCell ref="A45:Q45"/>
    <mergeCell ref="A33:A35"/>
    <mergeCell ref="B37:Q37"/>
    <mergeCell ref="N33:P33"/>
    <mergeCell ref="B38:Q38"/>
    <mergeCell ref="A44:Q44"/>
    <mergeCell ref="H39:Q39"/>
    <mergeCell ref="H40:Q40"/>
    <mergeCell ref="B35:O35"/>
    <mergeCell ref="N34:P34"/>
    <mergeCell ref="O36:Q36"/>
    <mergeCell ref="B34:E34"/>
    <mergeCell ref="A80:Q80"/>
    <mergeCell ref="O62:Q62"/>
    <mergeCell ref="B66:G66"/>
    <mergeCell ref="O68:Q68"/>
    <mergeCell ref="C64:D64"/>
    <mergeCell ref="E64:Q64"/>
    <mergeCell ref="O79:Q79"/>
    <mergeCell ref="A69:Q69"/>
    <mergeCell ref="B68:F68"/>
    <mergeCell ref="B65:P65"/>
    <mergeCell ref="G16:M17"/>
    <mergeCell ref="G29:L29"/>
    <mergeCell ref="G27:L27"/>
    <mergeCell ref="G20:L21"/>
    <mergeCell ref="G33:L33"/>
    <mergeCell ref="G32:L32"/>
    <mergeCell ref="G30:L30"/>
    <mergeCell ref="G28:L28"/>
    <mergeCell ref="A1:Q1"/>
    <mergeCell ref="A3:Q3"/>
    <mergeCell ref="A4:Q4"/>
    <mergeCell ref="B5:E5"/>
    <mergeCell ref="N5:O5"/>
    <mergeCell ref="A2:Q2"/>
    <mergeCell ref="A11:A32"/>
    <mergeCell ref="N6:O6"/>
    <mergeCell ref="N7:Q7"/>
    <mergeCell ref="G26:L26"/>
    <mergeCell ref="G18:L18"/>
    <mergeCell ref="G12:M12"/>
    <mergeCell ref="N8:O8"/>
    <mergeCell ref="P8:Q8"/>
    <mergeCell ref="N11:O11"/>
    <mergeCell ref="G31:L31"/>
  </mergeCells>
  <printOptions horizontalCentered="1"/>
  <pageMargins left="0.25" right="0.25" top="0.75" bottom="0.5" header="0.42" footer="0.25"/>
  <pageSetup horizontalDpi="300" verticalDpi="300" orientation="portrait" paperSize="5" r:id="rId2"/>
  <rowBreaks count="1" manualBreakCount="1">
    <brk id="43" max="255" man="1"/>
  </rowBreaks>
  <colBreaks count="1" manualBreakCount="1">
    <brk id="17"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59"/>
  <sheetViews>
    <sheetView zoomScalePageLayoutView="0" workbookViewId="0" topLeftCell="A1">
      <selection activeCell="D46" sqref="D46"/>
    </sheetView>
  </sheetViews>
  <sheetFormatPr defaultColWidth="9.140625" defaultRowHeight="12.75"/>
  <cols>
    <col min="1" max="1" width="8.57421875" style="98" customWidth="1"/>
    <col min="2" max="2" width="10.00390625" style="98" customWidth="1"/>
    <col min="3" max="3" width="17.57421875" style="98" customWidth="1"/>
    <col min="4" max="4" width="21.7109375" style="492" customWidth="1"/>
    <col min="5" max="5" width="21.140625" style="492" customWidth="1"/>
    <col min="6" max="6" width="11.421875" style="98" customWidth="1"/>
    <col min="7" max="7" width="14.8515625" style="98" customWidth="1"/>
    <col min="8" max="8" width="11.421875" style="98" customWidth="1"/>
    <col min="9" max="9" width="9.140625" style="98" customWidth="1"/>
  </cols>
  <sheetData>
    <row r="1" spans="1:9" s="380" customFormat="1" ht="30" customHeight="1">
      <c r="A1" s="159" t="str">
        <f>CONCATENATE("PROCEEDINGS OF THE MANDAL EDUCATIONAL OFFICER  ",SH!E6,"")</f>
        <v>PROCEEDINGS OF THE MANDAL EDUCATIONAL OFFICER  PEDAPADU</v>
      </c>
      <c r="B1" s="159"/>
      <c r="C1" s="159"/>
      <c r="D1" s="488"/>
      <c r="E1" s="493"/>
      <c r="F1" s="159"/>
      <c r="G1" s="159"/>
      <c r="H1" s="159"/>
      <c r="I1" s="379"/>
    </row>
    <row r="2" spans="1:7" ht="21.75" customHeight="1">
      <c r="A2" s="99"/>
      <c r="B2" s="99"/>
      <c r="C2" s="100" t="s">
        <v>124</v>
      </c>
      <c r="D2" s="102" t="str">
        <f>SH!E13</f>
        <v>P.ATCHUTHA RAO,M.A.,B.Ed.,</v>
      </c>
      <c r="F2" s="99"/>
      <c r="G2" s="99"/>
    </row>
    <row r="3" spans="1:7" ht="15">
      <c r="A3" s="99"/>
      <c r="B3" s="99"/>
      <c r="C3" s="99"/>
      <c r="D3" s="102"/>
      <c r="E3" s="494"/>
      <c r="F3" s="99"/>
      <c r="G3" s="99"/>
    </row>
    <row r="4" spans="1:7" ht="15">
      <c r="A4" s="99"/>
      <c r="B4" s="100" t="s">
        <v>125</v>
      </c>
      <c r="C4" s="484">
        <f>SH!E11</f>
        <v>0</v>
      </c>
      <c r="D4" s="489"/>
      <c r="E4" s="486" t="s">
        <v>310</v>
      </c>
      <c r="F4" s="485" t="str">
        <f>SH!E12</f>
        <v>27/10/2011</v>
      </c>
      <c r="G4" s="100"/>
    </row>
    <row r="5" spans="1:7" ht="15">
      <c r="A5" s="99"/>
      <c r="B5" s="100"/>
      <c r="C5" s="101"/>
      <c r="D5" s="489"/>
      <c r="E5" s="494"/>
      <c r="F5" s="99"/>
      <c r="G5" s="100"/>
    </row>
    <row r="6" spans="1:7" ht="15">
      <c r="A6" s="99"/>
      <c r="B6" s="100" t="s">
        <v>126</v>
      </c>
      <c r="C6" s="102" t="str">
        <f>CONCATENATE("Public Services - O/o M E O.  ",SH!E6,"- Fixation of pay in RPS,2010 of")</f>
        <v>Public Services - O/o M E O.  PEDAPADU- Fixation of pay in RPS,2010 of</v>
      </c>
      <c r="D6" s="102"/>
      <c r="E6" s="494"/>
      <c r="F6" s="99"/>
      <c r="G6" s="99"/>
    </row>
    <row r="7" spans="1:7" ht="15">
      <c r="A7" s="99"/>
      <c r="B7" s="103"/>
      <c r="C7" s="102" t="s">
        <v>179</v>
      </c>
      <c r="D7" s="102"/>
      <c r="E7" s="494"/>
      <c r="F7" s="103"/>
      <c r="G7" s="99"/>
    </row>
    <row r="8" spans="1:7" ht="15">
      <c r="A8" s="99"/>
      <c r="B8" s="99"/>
      <c r="C8" s="102" t="s">
        <v>213</v>
      </c>
      <c r="D8" s="102"/>
      <c r="E8" s="494"/>
      <c r="F8" s="102"/>
      <c r="G8" s="99"/>
    </row>
    <row r="9" spans="1:7" ht="15">
      <c r="A9" s="99"/>
      <c r="B9" s="99"/>
      <c r="C9" s="102" t="s">
        <v>214</v>
      </c>
      <c r="D9" s="102"/>
      <c r="E9" s="494"/>
      <c r="F9" s="102"/>
      <c r="G9" s="99"/>
    </row>
    <row r="10" spans="1:7" ht="15">
      <c r="A10" s="99"/>
      <c r="B10" s="99"/>
      <c r="C10" s="99"/>
      <c r="D10" s="102"/>
      <c r="E10" s="494"/>
      <c r="F10" s="99"/>
      <c r="G10" s="99"/>
    </row>
    <row r="11" spans="1:7" ht="15.75">
      <c r="A11" s="99"/>
      <c r="B11" s="100" t="s">
        <v>127</v>
      </c>
      <c r="C11" s="378" t="s">
        <v>335</v>
      </c>
      <c r="D11" s="490"/>
      <c r="E11" s="495"/>
      <c r="F11" s="99"/>
      <c r="G11" s="99"/>
    </row>
    <row r="12" spans="1:7" ht="15.75">
      <c r="A12" s="99"/>
      <c r="B12" s="99"/>
      <c r="C12" s="378" t="s">
        <v>336</v>
      </c>
      <c r="D12" s="490"/>
      <c r="E12" s="495"/>
      <c r="F12" s="99"/>
      <c r="G12" s="99"/>
    </row>
    <row r="13" spans="1:7" ht="15.75">
      <c r="A13" s="99"/>
      <c r="B13" s="99"/>
      <c r="C13" s="378" t="s">
        <v>337</v>
      </c>
      <c r="D13" s="490"/>
      <c r="E13" s="495"/>
      <c r="F13" s="99"/>
      <c r="G13" s="99"/>
    </row>
    <row r="14" spans="1:7" ht="15.75">
      <c r="A14" s="99"/>
      <c r="B14" s="99"/>
      <c r="C14" s="378" t="s">
        <v>338</v>
      </c>
      <c r="D14" s="490"/>
      <c r="E14" s="495"/>
      <c r="F14" s="99"/>
      <c r="G14" s="99"/>
    </row>
    <row r="15" spans="1:7" ht="15.75">
      <c r="A15" s="99"/>
      <c r="C15" s="376" t="s">
        <v>339</v>
      </c>
      <c r="D15" s="490"/>
      <c r="E15" s="495"/>
      <c r="F15" s="100"/>
      <c r="G15" s="99"/>
    </row>
    <row r="16" spans="1:7" ht="15">
      <c r="A16" s="106" t="s">
        <v>130</v>
      </c>
      <c r="B16" s="103"/>
      <c r="C16" s="103"/>
      <c r="D16" s="102"/>
      <c r="E16" s="494"/>
      <c r="F16" s="103"/>
      <c r="G16" s="103"/>
    </row>
    <row r="17" spans="1:7" ht="15">
      <c r="A17" s="99"/>
      <c r="B17" s="102" t="str">
        <f>CONCATENATE("As per representation of Sri/Smt.",SH!E2,", ",SH!E3,", ",SH!E4,", ",SH!E5,"  of this")</f>
        <v>As per representation of Sri/Smt.K.SRINIVASARAO, S.G.T., M.P.P.SCHOOL, R.V.S.NAGAR  of this</v>
      </c>
      <c r="C17" s="99"/>
      <c r="D17" s="102"/>
      <c r="E17" s="494"/>
      <c r="F17" s="99"/>
      <c r="G17" s="99"/>
    </row>
    <row r="18" spans="1:7" ht="15">
      <c r="A18" s="99" t="s">
        <v>527</v>
      </c>
      <c r="B18" s="102"/>
      <c r="C18" s="99"/>
      <c r="D18" s="102"/>
      <c r="E18" s="494"/>
      <c r="F18" s="99"/>
      <c r="G18" s="99"/>
    </row>
    <row r="19" spans="1:7" ht="15">
      <c r="A19" s="99" t="s">
        <v>343</v>
      </c>
      <c r="B19" s="102"/>
      <c r="C19" s="99"/>
      <c r="D19" s="102"/>
      <c r="E19" s="494"/>
      <c r="F19" s="99"/>
      <c r="G19" s="99"/>
    </row>
    <row r="20" spans="1:7" ht="15">
      <c r="A20" s="99"/>
      <c r="B20" s="102"/>
      <c r="C20" s="99"/>
      <c r="D20" s="102"/>
      <c r="E20" s="494"/>
      <c r="F20" s="99"/>
      <c r="G20" s="99"/>
    </row>
    <row r="21" spans="1:7" ht="15">
      <c r="A21" s="99"/>
      <c r="B21" s="102" t="str">
        <f>CONCATENATE("The Service Registers of both ",SH!E2," and P.Lakshmi narayana,")</f>
        <v>The Service Registers of both K.SRINIVASARAO and P.Lakshmi narayana,</v>
      </c>
      <c r="C21" s="99"/>
      <c r="D21" s="102"/>
      <c r="E21" s="494"/>
      <c r="F21" s="99"/>
      <c r="G21" s="99"/>
    </row>
    <row r="22" spans="1:7" ht="15">
      <c r="A22" s="99" t="s">
        <v>182</v>
      </c>
      <c r="B22" s="102"/>
      <c r="C22" s="99"/>
      <c r="D22" s="102"/>
      <c r="E22" s="494"/>
      <c r="F22" s="99"/>
      <c r="G22" s="99"/>
    </row>
    <row r="23" spans="1:7" ht="15">
      <c r="A23" s="99"/>
      <c r="B23" s="99"/>
      <c r="C23" s="103"/>
      <c r="D23" s="160" t="s">
        <v>180</v>
      </c>
      <c r="E23" s="487" t="s">
        <v>181</v>
      </c>
      <c r="F23" s="99"/>
      <c r="G23" s="99"/>
    </row>
    <row r="24" spans="1:7" ht="15">
      <c r="A24" s="99"/>
      <c r="B24" s="99"/>
      <c r="C24" s="103"/>
      <c r="D24" s="102" t="str">
        <f>SH!E2</f>
        <v>K.SRINIVASARAO</v>
      </c>
      <c r="E24" s="665" t="s">
        <v>216</v>
      </c>
      <c r="F24" s="665"/>
      <c r="G24" s="103"/>
    </row>
    <row r="25" spans="1:7" ht="15">
      <c r="A25" s="665" t="s">
        <v>183</v>
      </c>
      <c r="B25" s="665"/>
      <c r="C25" s="665"/>
      <c r="D25" s="564">
        <f>SH!M73</f>
        <v>37284</v>
      </c>
      <c r="E25" s="494" t="s">
        <v>217</v>
      </c>
      <c r="F25" s="99"/>
      <c r="G25" s="103"/>
    </row>
    <row r="26" spans="1:7" ht="15">
      <c r="A26" s="665" t="s">
        <v>185</v>
      </c>
      <c r="B26" s="665"/>
      <c r="C26" s="665"/>
      <c r="D26" s="102" t="s">
        <v>186</v>
      </c>
      <c r="E26" s="494" t="s">
        <v>218</v>
      </c>
      <c r="F26" s="99"/>
      <c r="G26" s="103"/>
    </row>
    <row r="27" spans="1:7" ht="15">
      <c r="A27" s="665" t="s">
        <v>187</v>
      </c>
      <c r="B27" s="665"/>
      <c r="C27" s="665"/>
      <c r="D27" s="102" t="s">
        <v>184</v>
      </c>
      <c r="E27" s="494" t="s">
        <v>219</v>
      </c>
      <c r="F27" s="99"/>
      <c r="G27" s="103"/>
    </row>
    <row r="28" spans="1:7" ht="15">
      <c r="A28" s="665" t="s">
        <v>188</v>
      </c>
      <c r="B28" s="665"/>
      <c r="C28" s="665"/>
      <c r="D28" s="102" t="s">
        <v>194</v>
      </c>
      <c r="E28" s="494" t="s">
        <v>528</v>
      </c>
      <c r="F28" s="99"/>
      <c r="G28" s="103"/>
    </row>
    <row r="29" spans="1:7" ht="15">
      <c r="A29" s="665" t="s">
        <v>189</v>
      </c>
      <c r="B29" s="665"/>
      <c r="C29" s="665"/>
      <c r="D29" s="102" t="s">
        <v>195</v>
      </c>
      <c r="E29" s="494" t="s">
        <v>200</v>
      </c>
      <c r="F29" s="99"/>
      <c r="G29" s="103"/>
    </row>
    <row r="30" spans="1:7" ht="15">
      <c r="A30" s="665" t="s">
        <v>190</v>
      </c>
      <c r="B30" s="665"/>
      <c r="C30" s="665"/>
      <c r="D30" s="102" t="s">
        <v>196</v>
      </c>
      <c r="E30" s="494" t="s">
        <v>196</v>
      </c>
      <c r="F30" s="99"/>
      <c r="G30" s="103"/>
    </row>
    <row r="31" spans="1:7" ht="15">
      <c r="A31" s="665" t="s">
        <v>191</v>
      </c>
      <c r="B31" s="665"/>
      <c r="C31" s="665"/>
      <c r="D31" s="102" t="s">
        <v>197</v>
      </c>
      <c r="E31" s="494" t="s">
        <v>197</v>
      </c>
      <c r="F31" s="99"/>
      <c r="G31" s="103"/>
    </row>
    <row r="32" spans="1:7" ht="15">
      <c r="A32" s="665" t="s">
        <v>192</v>
      </c>
      <c r="B32" s="665"/>
      <c r="C32" s="665"/>
      <c r="D32" s="102" t="s">
        <v>198</v>
      </c>
      <c r="E32" s="494" t="s">
        <v>220</v>
      </c>
      <c r="F32" s="99"/>
      <c r="G32" s="103"/>
    </row>
    <row r="33" spans="1:7" ht="15">
      <c r="A33" s="665" t="s">
        <v>193</v>
      </c>
      <c r="B33" s="665"/>
      <c r="C33" s="665"/>
      <c r="D33" s="102" t="s">
        <v>199</v>
      </c>
      <c r="E33" s="494" t="s">
        <v>199</v>
      </c>
      <c r="F33" s="99"/>
      <c r="G33" s="103"/>
    </row>
    <row r="34" spans="1:7" ht="15">
      <c r="A34" s="99"/>
      <c r="B34" s="99"/>
      <c r="C34" s="103"/>
      <c r="D34" s="102"/>
      <c r="E34" s="494"/>
      <c r="F34" s="99"/>
      <c r="G34" s="103"/>
    </row>
    <row r="35" spans="1:7" ht="15">
      <c r="A35" s="99"/>
      <c r="B35" s="99" t="str">
        <f>CONCATENATE("As above Sri/Smt.",SH!E2," is drawing more pay than than his junior prior to 01.07.2008,")</f>
        <v>As above Sri/Smt.K.SRINIVASARAO is drawing more pay than than his junior prior to 01.07.2008,</v>
      </c>
      <c r="C35" s="103"/>
      <c r="D35" s="102"/>
      <c r="E35" s="494"/>
      <c r="F35" s="99"/>
      <c r="G35" s="103"/>
    </row>
    <row r="36" spans="1:7" ht="15">
      <c r="A36" s="99" t="s">
        <v>348</v>
      </c>
      <c r="B36" s="99"/>
      <c r="C36" s="103"/>
      <c r="D36" s="102"/>
      <c r="E36" s="494"/>
      <c r="F36" s="99"/>
      <c r="G36" s="103"/>
    </row>
    <row r="37" spans="1:7" ht="15">
      <c r="A37" s="99" t="s">
        <v>347</v>
      </c>
      <c r="B37" s="99"/>
      <c r="C37" s="103"/>
      <c r="D37" s="102"/>
      <c r="E37" s="494"/>
      <c r="F37" s="99"/>
      <c r="G37" s="103"/>
    </row>
    <row r="38" spans="1:7" ht="15">
      <c r="A38" s="99"/>
      <c r="B38" s="99"/>
      <c r="C38" s="103"/>
      <c r="D38" s="102"/>
      <c r="E38" s="494"/>
      <c r="F38" s="99"/>
      <c r="G38" s="103"/>
    </row>
    <row r="39" spans="1:7" ht="15">
      <c r="A39" s="667" t="s">
        <v>342</v>
      </c>
      <c r="B39" s="667"/>
      <c r="C39" s="667"/>
      <c r="D39" s="667"/>
      <c r="E39" s="667"/>
      <c r="F39" s="667"/>
      <c r="G39" s="103"/>
    </row>
    <row r="40" spans="1:7" ht="15">
      <c r="A40" s="99" t="s">
        <v>221</v>
      </c>
      <c r="B40" s="99"/>
      <c r="C40" s="103"/>
      <c r="D40" s="102"/>
      <c r="E40" s="494"/>
      <c r="F40" s="99"/>
      <c r="G40" s="103"/>
    </row>
    <row r="41" spans="1:7" ht="15.75">
      <c r="A41" s="376"/>
      <c r="B41" s="376" t="s">
        <v>325</v>
      </c>
      <c r="D41" s="490" t="s">
        <v>326</v>
      </c>
      <c r="E41" s="495" t="s">
        <v>327</v>
      </c>
      <c r="F41" s="99"/>
      <c r="G41" s="103"/>
    </row>
    <row r="42" spans="1:7" ht="15.75">
      <c r="A42" s="376" t="s">
        <v>341</v>
      </c>
      <c r="B42" s="376"/>
      <c r="D42" s="491">
        <v>39455</v>
      </c>
      <c r="E42" s="495" t="s">
        <v>329</v>
      </c>
      <c r="F42" s="354"/>
      <c r="G42" s="355"/>
    </row>
    <row r="43" spans="1:7" ht="15.75">
      <c r="A43" s="666" t="s">
        <v>328</v>
      </c>
      <c r="B43" s="666"/>
      <c r="C43" s="666"/>
      <c r="D43" s="491">
        <v>39821</v>
      </c>
      <c r="E43" s="495" t="s">
        <v>330</v>
      </c>
      <c r="F43" s="354"/>
      <c r="G43" s="355"/>
    </row>
    <row r="44" spans="1:7" ht="15.75">
      <c r="A44" s="666" t="s">
        <v>349</v>
      </c>
      <c r="B44" s="666"/>
      <c r="D44" s="565">
        <f>SH!I35</f>
        <v>40206</v>
      </c>
      <c r="E44" s="495" t="s">
        <v>331</v>
      </c>
      <c r="F44" s="354"/>
      <c r="G44" s="355"/>
    </row>
    <row r="45" spans="1:7" ht="15.75">
      <c r="A45" s="666" t="s">
        <v>328</v>
      </c>
      <c r="B45" s="666"/>
      <c r="C45" s="666"/>
      <c r="D45" s="491">
        <v>40186</v>
      </c>
      <c r="E45" s="495" t="s">
        <v>332</v>
      </c>
      <c r="F45" s="99"/>
      <c r="G45" s="103"/>
    </row>
    <row r="46" spans="1:7" ht="15.75">
      <c r="A46" s="666" t="s">
        <v>333</v>
      </c>
      <c r="B46" s="666"/>
      <c r="C46" s="666"/>
      <c r="D46" s="491">
        <v>40551</v>
      </c>
      <c r="E46" s="495" t="s">
        <v>334</v>
      </c>
      <c r="F46" s="99"/>
      <c r="G46" s="103"/>
    </row>
    <row r="47" spans="1:7" ht="15.75">
      <c r="A47"/>
      <c r="B47" s="376" t="s">
        <v>340</v>
      </c>
      <c r="C47" s="377"/>
      <c r="D47" s="248"/>
      <c r="E47" s="496"/>
      <c r="F47" s="104"/>
      <c r="G47" s="104"/>
    </row>
    <row r="48" spans="1:7" ht="15">
      <c r="A48"/>
      <c r="B48" t="str">
        <f>CONCATENATE("Sri/Smt.",SH!E2," Secondary Grade Teacher, is informed that if any excess payments are noticed at a")</f>
        <v>Sri/Smt.K.SRINIVASARAO Secondary Grade Teacher, is informed that if any excess payments are noticed at a</v>
      </c>
      <c r="C48" s="185"/>
      <c r="D48" s="248"/>
      <c r="E48" s="494"/>
      <c r="F48" s="104"/>
      <c r="G48" s="99"/>
    </row>
    <row r="49" spans="1:8" ht="15">
      <c r="A49" s="99" t="s">
        <v>344</v>
      </c>
      <c r="B49" s="99"/>
      <c r="C49" s="99"/>
      <c r="D49" s="102"/>
      <c r="E49" s="494"/>
      <c r="F49" s="99"/>
      <c r="G49" s="99"/>
      <c r="H49" s="99"/>
    </row>
    <row r="50" spans="1:8" ht="15">
      <c r="A50" s="99" t="s">
        <v>345</v>
      </c>
      <c r="B50" s="99"/>
      <c r="C50" s="99"/>
      <c r="D50" s="102"/>
      <c r="E50" s="494"/>
      <c r="F50" s="99"/>
      <c r="G50" s="99"/>
      <c r="H50" s="99"/>
    </row>
    <row r="51" spans="1:8" ht="15">
      <c r="A51" s="99"/>
      <c r="B51" s="99"/>
      <c r="C51" s="99"/>
      <c r="D51" s="102"/>
      <c r="E51" s="494"/>
      <c r="F51" s="99"/>
      <c r="G51" s="99"/>
      <c r="H51" s="99"/>
    </row>
    <row r="52" spans="1:8" ht="15">
      <c r="A52" s="99"/>
      <c r="B52" s="99" t="s">
        <v>346</v>
      </c>
      <c r="C52" s="99"/>
      <c r="D52" s="102"/>
      <c r="E52" s="494"/>
      <c r="F52" s="99"/>
      <c r="G52" s="99"/>
      <c r="H52" s="99"/>
    </row>
    <row r="53" spans="1:8" ht="15">
      <c r="A53" s="99"/>
      <c r="B53" s="99"/>
      <c r="C53" s="99"/>
      <c r="D53" s="102"/>
      <c r="E53" s="494"/>
      <c r="F53" s="99"/>
      <c r="G53" s="99"/>
      <c r="H53" s="99"/>
    </row>
    <row r="54" spans="1:8" ht="15">
      <c r="A54" s="99"/>
      <c r="B54" s="99"/>
      <c r="C54" s="99"/>
      <c r="D54" s="102"/>
      <c r="E54" s="494"/>
      <c r="F54" s="99"/>
      <c r="G54" s="99"/>
      <c r="H54" s="99"/>
    </row>
    <row r="55" spans="1:8" ht="39.75" customHeight="1">
      <c r="A55" s="99"/>
      <c r="B55" s="99"/>
      <c r="C55" s="99"/>
      <c r="D55" s="668" t="str">
        <f>CONCATENATE("Mandal Educational Officer,
",SH!E6," Mandal,     VISAKHA.Dt.")</f>
        <v>Mandal Educational Officer,
PEDAPADU Mandal,     VISAKHA.Dt.</v>
      </c>
      <c r="E55" s="668"/>
      <c r="F55" s="668"/>
      <c r="G55" s="99"/>
      <c r="H55" s="99"/>
    </row>
    <row r="56" spans="1:7" ht="15">
      <c r="A56" s="102" t="s">
        <v>128</v>
      </c>
      <c r="B56" s="99"/>
      <c r="C56" s="99"/>
      <c r="D56" s="102"/>
      <c r="E56" s="494"/>
      <c r="F56" s="99"/>
      <c r="G56" s="99"/>
    </row>
    <row r="57" spans="1:7" ht="15">
      <c r="A57" s="102" t="str">
        <f>CONCATENATE("Copy submitted to the ",SH!E16,"(East)")</f>
        <v>Copy submitted to the STO, ELURU(East)</v>
      </c>
      <c r="B57" s="99"/>
      <c r="C57" s="99"/>
      <c r="D57" s="102"/>
      <c r="E57" s="494"/>
      <c r="F57" s="99"/>
      <c r="G57" s="99"/>
    </row>
    <row r="58" spans="1:7" ht="15">
      <c r="A58" s="102" t="s">
        <v>129</v>
      </c>
      <c r="B58" s="99"/>
      <c r="C58" s="99"/>
      <c r="D58" s="102"/>
      <c r="E58" s="494"/>
      <c r="F58" s="99"/>
      <c r="G58" s="105"/>
    </row>
    <row r="59" ht="12.75">
      <c r="A59" s="161"/>
    </row>
  </sheetData>
  <sheetProtection/>
  <protectedRanges>
    <protectedRange sqref="C11:E15" name="Range1_3"/>
  </protectedRanges>
  <mergeCells count="16">
    <mergeCell ref="E24:F24"/>
    <mergeCell ref="A25:C25"/>
    <mergeCell ref="A26:C26"/>
    <mergeCell ref="A27:C27"/>
    <mergeCell ref="A28:C28"/>
    <mergeCell ref="A29:C29"/>
    <mergeCell ref="A30:C30"/>
    <mergeCell ref="A43:C43"/>
    <mergeCell ref="A45:C45"/>
    <mergeCell ref="A46:C46"/>
    <mergeCell ref="A39:F39"/>
    <mergeCell ref="D55:F55"/>
    <mergeCell ref="A31:C31"/>
    <mergeCell ref="A32:C32"/>
    <mergeCell ref="A44:B44"/>
    <mergeCell ref="A33:C33"/>
  </mergeCells>
  <printOptions/>
  <pageMargins left="0.45" right="0.45" top="0.5" bottom="0.5" header="0.3" footer="0.3"/>
  <pageSetup horizontalDpi="300" verticalDpi="300" orientation="portrait" paperSize="5" r:id="rId1"/>
</worksheet>
</file>

<file path=xl/worksheets/sheet5.xml><?xml version="1.0" encoding="utf-8"?>
<worksheet xmlns="http://schemas.openxmlformats.org/spreadsheetml/2006/main" xmlns:r="http://schemas.openxmlformats.org/officeDocument/2006/relationships">
  <sheetPr codeName="Sheet5">
    <tabColor indexed="11"/>
  </sheetPr>
  <dimension ref="A1:AA59"/>
  <sheetViews>
    <sheetView zoomScalePageLayoutView="0" workbookViewId="0" topLeftCell="A13">
      <selection activeCell="E58" sqref="E58:F58"/>
    </sheetView>
  </sheetViews>
  <sheetFormatPr defaultColWidth="9.140625" defaultRowHeight="12.75"/>
  <cols>
    <col min="1" max="1" width="5.7109375" style="37" customWidth="1"/>
    <col min="2" max="2" width="6.28125" style="37" customWidth="1"/>
    <col min="3" max="3" width="3.57421875" style="37" customWidth="1"/>
    <col min="4" max="4" width="4.140625" style="37" customWidth="1"/>
    <col min="5" max="5" width="6.28125" style="37" bestFit="1" customWidth="1"/>
    <col min="6" max="6" width="6.57421875" style="37" customWidth="1"/>
    <col min="7" max="7" width="5.57421875" style="37" customWidth="1"/>
    <col min="8" max="8" width="7.57421875" style="37" bestFit="1" customWidth="1"/>
    <col min="9" max="9" width="10.28125" style="37" customWidth="1"/>
    <col min="10" max="10" width="6.7109375" style="37" customWidth="1"/>
    <col min="11" max="11" width="4.28125" style="37" customWidth="1"/>
    <col min="12" max="12" width="4.7109375" style="37" customWidth="1"/>
    <col min="13" max="13" width="6.7109375" style="37" customWidth="1"/>
    <col min="14" max="14" width="5.28125" style="37" bestFit="1" customWidth="1"/>
    <col min="15" max="15" width="5.7109375" style="37" customWidth="1"/>
    <col min="16" max="16" width="6.57421875" style="37" bestFit="1" customWidth="1"/>
    <col min="17" max="20" width="3.28125" style="37" customWidth="1"/>
    <col min="21" max="21" width="4.140625" style="37" bestFit="1" customWidth="1"/>
    <col min="22" max="22" width="3.00390625" style="37" bestFit="1" customWidth="1"/>
    <col min="23" max="23" width="5.140625" style="37" bestFit="1" customWidth="1"/>
    <col min="24" max="24" width="6.421875" style="37" customWidth="1"/>
    <col min="25" max="25" width="5.140625" style="37" customWidth="1"/>
    <col min="26" max="26" width="6.7109375" style="37" customWidth="1"/>
    <col min="27" max="27" width="4.00390625" style="37" bestFit="1" customWidth="1"/>
    <col min="28" max="16384" width="9.140625" style="37" customWidth="1"/>
  </cols>
  <sheetData>
    <row r="1" spans="1:27" ht="14.25">
      <c r="A1" s="673" t="s">
        <v>207</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row>
    <row r="2" spans="1:27" ht="12.75">
      <c r="A2" s="674" t="s">
        <v>227</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7"/>
    </row>
    <row r="3" spans="1:27" ht="13.5" customHeight="1">
      <c r="A3" s="678" t="s">
        <v>72</v>
      </c>
      <c r="B3" s="679" t="s">
        <v>135</v>
      </c>
      <c r="C3" s="679"/>
      <c r="D3" s="679"/>
      <c r="E3" s="679"/>
      <c r="F3" s="679"/>
      <c r="G3" s="679"/>
      <c r="H3" s="679"/>
      <c r="I3" s="675" t="s">
        <v>103</v>
      </c>
      <c r="J3" s="675" t="s">
        <v>110</v>
      </c>
      <c r="K3" s="670" t="s">
        <v>106</v>
      </c>
      <c r="L3" s="670" t="s">
        <v>73</v>
      </c>
      <c r="M3" s="670" t="s">
        <v>118</v>
      </c>
      <c r="N3" s="671" t="s">
        <v>105</v>
      </c>
      <c r="O3" s="678" t="s">
        <v>104</v>
      </c>
      <c r="P3" s="671" t="s">
        <v>74</v>
      </c>
      <c r="Q3" s="672" t="s">
        <v>75</v>
      </c>
      <c r="R3" s="672"/>
      <c r="S3" s="672"/>
      <c r="T3" s="672"/>
      <c r="U3" s="672"/>
      <c r="V3" s="672"/>
      <c r="W3" s="672"/>
      <c r="X3" s="670" t="s">
        <v>109</v>
      </c>
      <c r="Y3" s="670" t="s">
        <v>107</v>
      </c>
      <c r="Z3" s="669" t="s">
        <v>76</v>
      </c>
      <c r="AA3" s="671" t="s">
        <v>80</v>
      </c>
    </row>
    <row r="4" spans="1:27" ht="30" customHeight="1">
      <c r="A4" s="678"/>
      <c r="B4" s="679"/>
      <c r="C4" s="679"/>
      <c r="D4" s="679"/>
      <c r="E4" s="679"/>
      <c r="F4" s="679"/>
      <c r="G4" s="679"/>
      <c r="H4" s="679"/>
      <c r="I4" s="675"/>
      <c r="J4" s="675"/>
      <c r="K4" s="670"/>
      <c r="L4" s="670"/>
      <c r="M4" s="671"/>
      <c r="N4" s="671"/>
      <c r="O4" s="678"/>
      <c r="P4" s="671"/>
      <c r="Q4" s="671" t="s">
        <v>61</v>
      </c>
      <c r="R4" s="670" t="s">
        <v>108</v>
      </c>
      <c r="S4" s="671" t="s">
        <v>30</v>
      </c>
      <c r="T4" s="671" t="s">
        <v>77</v>
      </c>
      <c r="U4" s="671" t="s">
        <v>78</v>
      </c>
      <c r="V4" s="671" t="s">
        <v>122</v>
      </c>
      <c r="W4" s="671" t="s">
        <v>79</v>
      </c>
      <c r="X4" s="671"/>
      <c r="Y4" s="671"/>
      <c r="Z4" s="669"/>
      <c r="AA4" s="671"/>
    </row>
    <row r="5" spans="1:27" ht="12.75">
      <c r="A5" s="54"/>
      <c r="B5" s="8" t="s">
        <v>81</v>
      </c>
      <c r="C5" s="136" t="s">
        <v>117</v>
      </c>
      <c r="D5" s="136" t="s">
        <v>116</v>
      </c>
      <c r="E5" s="8" t="s">
        <v>82</v>
      </c>
      <c r="F5" s="8" t="s">
        <v>83</v>
      </c>
      <c r="G5" s="8" t="s">
        <v>104</v>
      </c>
      <c r="H5" s="8" t="s">
        <v>79</v>
      </c>
      <c r="I5" s="675"/>
      <c r="J5" s="675"/>
      <c r="K5" s="670"/>
      <c r="L5" s="670"/>
      <c r="M5" s="671"/>
      <c r="N5" s="671"/>
      <c r="O5" s="678"/>
      <c r="P5" s="671"/>
      <c r="Q5" s="671"/>
      <c r="R5" s="670"/>
      <c r="S5" s="671"/>
      <c r="T5" s="671"/>
      <c r="U5" s="671"/>
      <c r="V5" s="671"/>
      <c r="W5" s="671"/>
      <c r="X5" s="671"/>
      <c r="Y5" s="671"/>
      <c r="Z5" s="669"/>
      <c r="AA5" s="671"/>
    </row>
    <row r="6" spans="1:27" ht="12.75">
      <c r="A6" s="107">
        <v>1</v>
      </c>
      <c r="B6" s="677">
        <v>2</v>
      </c>
      <c r="C6" s="677"/>
      <c r="D6" s="677"/>
      <c r="E6" s="677"/>
      <c r="F6" s="677"/>
      <c r="G6" s="677"/>
      <c r="H6" s="677"/>
      <c r="I6" s="109">
        <v>3</v>
      </c>
      <c r="J6" s="109">
        <v>4</v>
      </c>
      <c r="K6" s="677">
        <v>5</v>
      </c>
      <c r="L6" s="677"/>
      <c r="M6" s="107">
        <v>6</v>
      </c>
      <c r="N6" s="107">
        <v>7</v>
      </c>
      <c r="O6" s="107">
        <v>8</v>
      </c>
      <c r="P6" s="107">
        <v>9</v>
      </c>
      <c r="Q6" s="681">
        <v>10</v>
      </c>
      <c r="R6" s="681"/>
      <c r="S6" s="107">
        <v>11</v>
      </c>
      <c r="T6" s="107">
        <v>12</v>
      </c>
      <c r="U6" s="107">
        <v>13</v>
      </c>
      <c r="V6" s="107">
        <v>14</v>
      </c>
      <c r="W6" s="107">
        <v>15</v>
      </c>
      <c r="X6" s="108">
        <v>16</v>
      </c>
      <c r="Y6" s="107">
        <v>17</v>
      </c>
      <c r="Z6" s="107">
        <v>18</v>
      </c>
      <c r="AA6" s="110">
        <v>19</v>
      </c>
    </row>
    <row r="7" spans="1:27" ht="45" customHeight="1">
      <c r="A7" s="111"/>
      <c r="B7" s="685" t="s">
        <v>224</v>
      </c>
      <c r="C7" s="685"/>
      <c r="D7" s="685"/>
      <c r="E7" s="685"/>
      <c r="F7" s="685"/>
      <c r="G7" s="685"/>
      <c r="H7" s="685"/>
      <c r="I7" s="112"/>
      <c r="J7" s="682"/>
      <c r="K7" s="682"/>
      <c r="L7" s="682"/>
      <c r="M7" s="682"/>
      <c r="N7" s="682"/>
      <c r="O7" s="682"/>
      <c r="P7" s="682"/>
      <c r="Q7" s="682"/>
      <c r="R7" s="682"/>
      <c r="S7" s="682"/>
      <c r="T7" s="682"/>
      <c r="U7" s="682"/>
      <c r="V7" s="682"/>
      <c r="W7" s="682"/>
      <c r="X7" s="682"/>
      <c r="Y7" s="682"/>
      <c r="Z7" s="682"/>
      <c r="AA7" s="113"/>
    </row>
    <row r="8" spans="1:27" ht="15" customHeight="1">
      <c r="A8" s="114" t="s">
        <v>84</v>
      </c>
      <c r="B8" s="115">
        <v>12550</v>
      </c>
      <c r="C8" s="115"/>
      <c r="D8" s="115"/>
      <c r="E8" s="115">
        <f>ROUND(B8*16.264%,0)</f>
        <v>2041</v>
      </c>
      <c r="F8" s="115">
        <f>ROUND(B8*12.5%,0)</f>
        <v>1569</v>
      </c>
      <c r="G8" s="115"/>
      <c r="H8" s="115">
        <f>SUM(B8:G8)</f>
        <v>16160</v>
      </c>
      <c r="I8" s="116" t="s">
        <v>206</v>
      </c>
      <c r="J8" s="683"/>
      <c r="K8" s="683"/>
      <c r="L8" s="683"/>
      <c r="M8" s="683"/>
      <c r="N8" s="683"/>
      <c r="O8" s="683"/>
      <c r="P8" s="683"/>
      <c r="Q8" s="683"/>
      <c r="R8" s="683"/>
      <c r="S8" s="683"/>
      <c r="T8" s="683"/>
      <c r="U8" s="683"/>
      <c r="V8" s="683"/>
      <c r="W8" s="683"/>
      <c r="X8" s="683"/>
      <c r="Y8" s="683"/>
      <c r="Z8" s="683"/>
      <c r="AA8" s="117"/>
    </row>
    <row r="9" spans="1:27" ht="15" customHeight="1">
      <c r="A9" s="114" t="s">
        <v>85</v>
      </c>
      <c r="B9" s="115">
        <v>12550</v>
      </c>
      <c r="C9" s="115"/>
      <c r="D9" s="115"/>
      <c r="E9" s="115">
        <f>ROUND(B9*16.264%,0)</f>
        <v>2041</v>
      </c>
      <c r="F9" s="115">
        <f>ROUND(B9*12.5%,0)</f>
        <v>1569</v>
      </c>
      <c r="G9" s="115"/>
      <c r="H9" s="115">
        <f>SUM(B9:G9)</f>
        <v>16160</v>
      </c>
      <c r="I9" s="116" t="s">
        <v>206</v>
      </c>
      <c r="J9" s="683"/>
      <c r="K9" s="683"/>
      <c r="L9" s="683"/>
      <c r="M9" s="683"/>
      <c r="N9" s="683"/>
      <c r="O9" s="683"/>
      <c r="P9" s="683"/>
      <c r="Q9" s="683"/>
      <c r="R9" s="683"/>
      <c r="S9" s="683"/>
      <c r="T9" s="683"/>
      <c r="U9" s="683"/>
      <c r="V9" s="683"/>
      <c r="W9" s="683"/>
      <c r="X9" s="683"/>
      <c r="Y9" s="683"/>
      <c r="Z9" s="683"/>
      <c r="AA9" s="117"/>
    </row>
    <row r="10" spans="1:27" ht="15" customHeight="1">
      <c r="A10" s="114" t="s">
        <v>86</v>
      </c>
      <c r="B10" s="115">
        <f>B8-B9</f>
        <v>0</v>
      </c>
      <c r="C10" s="115"/>
      <c r="D10" s="115"/>
      <c r="E10" s="115">
        <f>E8-E9</f>
        <v>0</v>
      </c>
      <c r="F10" s="115">
        <f>F8-F9</f>
        <v>0</v>
      </c>
      <c r="G10" s="115"/>
      <c r="H10" s="115">
        <f>H8-H9</f>
        <v>0</v>
      </c>
      <c r="I10" s="118"/>
      <c r="J10" s="119"/>
      <c r="K10" s="120"/>
      <c r="L10" s="120"/>
      <c r="M10" s="119"/>
      <c r="N10" s="119"/>
      <c r="O10" s="119"/>
      <c r="P10" s="121"/>
      <c r="Q10" s="122"/>
      <c r="R10" s="122"/>
      <c r="S10" s="122"/>
      <c r="T10" s="122"/>
      <c r="U10" s="122"/>
      <c r="V10" s="122"/>
      <c r="W10" s="122"/>
      <c r="X10" s="121"/>
      <c r="Y10" s="120"/>
      <c r="Z10" s="121"/>
      <c r="AA10" s="117"/>
    </row>
    <row r="11" spans="1:27" ht="15" customHeight="1">
      <c r="A11" s="123"/>
      <c r="B11" s="676" t="s">
        <v>212</v>
      </c>
      <c r="C11" s="676"/>
      <c r="D11" s="676"/>
      <c r="E11" s="676"/>
      <c r="F11" s="676"/>
      <c r="G11" s="676"/>
      <c r="H11" s="676"/>
      <c r="I11" s="115"/>
      <c r="J11" s="119">
        <f>ROUND(B10/30*7,0)</f>
        <v>0</v>
      </c>
      <c r="K11" s="119"/>
      <c r="L11" s="119"/>
      <c r="M11" s="119">
        <f>ROUND(E10/30*7,0)</f>
        <v>0</v>
      </c>
      <c r="N11" s="119">
        <f>ROUND(F10/30*7,0)</f>
        <v>0</v>
      </c>
      <c r="O11" s="119"/>
      <c r="P11" s="119">
        <f>ROUND(H10/30*7,0)</f>
        <v>0</v>
      </c>
      <c r="Q11" s="119"/>
      <c r="R11" s="115"/>
      <c r="S11" s="115"/>
      <c r="T11" s="115"/>
      <c r="U11" s="115">
        <v>0</v>
      </c>
      <c r="V11" s="119"/>
      <c r="W11" s="119"/>
      <c r="X11" s="119">
        <f>P11-W11</f>
        <v>0</v>
      </c>
      <c r="Y11" s="115"/>
      <c r="Z11" s="119">
        <f>X11-Y11</f>
        <v>0</v>
      </c>
      <c r="AA11" s="124"/>
    </row>
    <row r="12" spans="1:27" ht="15" customHeight="1">
      <c r="A12" s="114" t="s">
        <v>84</v>
      </c>
      <c r="B12" s="115">
        <v>12550</v>
      </c>
      <c r="C12" s="115"/>
      <c r="D12" s="115"/>
      <c r="E12" s="115">
        <f>ROUND(B12*16.264%,0)</f>
        <v>2041</v>
      </c>
      <c r="F12" s="115">
        <v>1569</v>
      </c>
      <c r="G12" s="115"/>
      <c r="H12" s="115">
        <f>SUM(B12:G12)</f>
        <v>16160</v>
      </c>
      <c r="I12" s="116" t="s">
        <v>206</v>
      </c>
      <c r="J12" s="119"/>
      <c r="K12" s="120"/>
      <c r="L12" s="120"/>
      <c r="M12" s="119"/>
      <c r="N12" s="119"/>
      <c r="O12" s="119"/>
      <c r="P12" s="121"/>
      <c r="Q12" s="122"/>
      <c r="R12" s="122"/>
      <c r="S12" s="122"/>
      <c r="T12" s="122"/>
      <c r="U12" s="122"/>
      <c r="V12" s="122"/>
      <c r="W12" s="122"/>
      <c r="X12" s="121"/>
      <c r="Y12" s="120"/>
      <c r="Z12" s="121"/>
      <c r="AA12" s="117"/>
    </row>
    <row r="13" spans="1:27" ht="15" customHeight="1">
      <c r="A13" s="114" t="s">
        <v>85</v>
      </c>
      <c r="B13" s="115">
        <v>12550</v>
      </c>
      <c r="C13" s="115"/>
      <c r="D13" s="115"/>
      <c r="E13" s="115">
        <f>ROUND(B13*16.264%,0)</f>
        <v>2041</v>
      </c>
      <c r="F13" s="115">
        <v>1569</v>
      </c>
      <c r="G13" s="115"/>
      <c r="H13" s="115">
        <f>SUM(B13:G13)</f>
        <v>16160</v>
      </c>
      <c r="I13" s="116" t="s">
        <v>206</v>
      </c>
      <c r="J13" s="119"/>
      <c r="K13" s="120"/>
      <c r="L13" s="120"/>
      <c r="M13" s="119"/>
      <c r="N13" s="119"/>
      <c r="O13" s="119"/>
      <c r="P13" s="121"/>
      <c r="Q13" s="122"/>
      <c r="R13" s="122"/>
      <c r="S13" s="122"/>
      <c r="T13" s="122"/>
      <c r="U13" s="122"/>
      <c r="V13" s="122"/>
      <c r="W13" s="122"/>
      <c r="X13" s="121"/>
      <c r="Y13" s="120"/>
      <c r="Z13" s="121"/>
      <c r="AA13" s="117"/>
    </row>
    <row r="14" spans="1:27" ht="15" customHeight="1">
      <c r="A14" s="114" t="s">
        <v>86</v>
      </c>
      <c r="B14" s="115">
        <f>B12-B13</f>
        <v>0</v>
      </c>
      <c r="C14" s="115"/>
      <c r="D14" s="115"/>
      <c r="E14" s="115">
        <f>E12-E13</f>
        <v>0</v>
      </c>
      <c r="F14" s="115">
        <f>F12-F13</f>
        <v>0</v>
      </c>
      <c r="G14" s="115"/>
      <c r="H14" s="115">
        <f>H12-H13</f>
        <v>0</v>
      </c>
      <c r="I14" s="118"/>
      <c r="J14" s="119"/>
      <c r="K14" s="120"/>
      <c r="L14" s="120"/>
      <c r="M14" s="119"/>
      <c r="N14" s="119"/>
      <c r="O14" s="119"/>
      <c r="P14" s="121"/>
      <c r="Q14" s="122"/>
      <c r="R14" s="122"/>
      <c r="S14" s="122"/>
      <c r="T14" s="122"/>
      <c r="U14" s="122"/>
      <c r="V14" s="122"/>
      <c r="W14" s="122"/>
      <c r="X14" s="121"/>
      <c r="Y14" s="120"/>
      <c r="Z14" s="121"/>
      <c r="AA14" s="117"/>
    </row>
    <row r="15" spans="1:27" ht="15" customHeight="1">
      <c r="A15" s="123"/>
      <c r="B15" s="676" t="s">
        <v>205</v>
      </c>
      <c r="C15" s="676"/>
      <c r="D15" s="676"/>
      <c r="E15" s="676"/>
      <c r="F15" s="676"/>
      <c r="G15" s="676"/>
      <c r="H15" s="676"/>
      <c r="I15" s="115"/>
      <c r="J15" s="119">
        <f>ROUND(B14,0)</f>
        <v>0</v>
      </c>
      <c r="K15" s="119"/>
      <c r="L15" s="119"/>
      <c r="M15" s="119">
        <f>ROUND(E14,0)</f>
        <v>0</v>
      </c>
      <c r="N15" s="119">
        <f>ROUND(F14,0)</f>
        <v>0</v>
      </c>
      <c r="O15" s="119"/>
      <c r="P15" s="119">
        <f>ROUND(H14,0)</f>
        <v>0</v>
      </c>
      <c r="Q15" s="119"/>
      <c r="R15" s="115"/>
      <c r="S15" s="115"/>
      <c r="T15" s="115"/>
      <c r="U15" s="115">
        <v>0</v>
      </c>
      <c r="V15" s="119"/>
      <c r="W15" s="119"/>
      <c r="X15" s="119">
        <f>P15-W15</f>
        <v>0</v>
      </c>
      <c r="Y15" s="115"/>
      <c r="Z15" s="119">
        <f>X15-Y15</f>
        <v>0</v>
      </c>
      <c r="AA15" s="124"/>
    </row>
    <row r="16" spans="1:27" ht="15" customHeight="1">
      <c r="A16" s="114" t="s">
        <v>84</v>
      </c>
      <c r="B16" s="115">
        <v>12550</v>
      </c>
      <c r="C16" s="115"/>
      <c r="D16" s="115"/>
      <c r="E16" s="115">
        <f>ROUND(B16*16.264%,0)</f>
        <v>2041</v>
      </c>
      <c r="F16" s="115">
        <v>1569</v>
      </c>
      <c r="G16" s="115"/>
      <c r="H16" s="115">
        <f>SUM(B16:G16)</f>
        <v>16160</v>
      </c>
      <c r="I16" s="116" t="s">
        <v>206</v>
      </c>
      <c r="J16" s="119"/>
      <c r="K16" s="120"/>
      <c r="L16" s="120"/>
      <c r="M16" s="119"/>
      <c r="N16" s="119"/>
      <c r="O16" s="119"/>
      <c r="P16" s="121"/>
      <c r="Q16" s="122"/>
      <c r="R16" s="122"/>
      <c r="S16" s="122"/>
      <c r="T16" s="122"/>
      <c r="U16" s="122"/>
      <c r="V16" s="122"/>
      <c r="W16" s="122"/>
      <c r="X16" s="121"/>
      <c r="Y16" s="120"/>
      <c r="Z16" s="121"/>
      <c r="AA16" s="117"/>
    </row>
    <row r="17" spans="1:27" ht="15" customHeight="1">
      <c r="A17" s="114" t="s">
        <v>85</v>
      </c>
      <c r="B17" s="115">
        <v>12550</v>
      </c>
      <c r="C17" s="115"/>
      <c r="D17" s="115"/>
      <c r="E17" s="115">
        <f>ROUND(B17*16.264%,0)</f>
        <v>2041</v>
      </c>
      <c r="F17" s="115">
        <v>1569</v>
      </c>
      <c r="G17" s="115"/>
      <c r="H17" s="115">
        <f>SUM(B17:G17)</f>
        <v>16160</v>
      </c>
      <c r="I17" s="116" t="s">
        <v>206</v>
      </c>
      <c r="J17" s="119"/>
      <c r="K17" s="120"/>
      <c r="L17" s="120"/>
      <c r="M17" s="119"/>
      <c r="N17" s="119"/>
      <c r="O17" s="119"/>
      <c r="P17" s="121"/>
      <c r="Q17" s="122"/>
      <c r="R17" s="122"/>
      <c r="S17" s="122"/>
      <c r="T17" s="122"/>
      <c r="U17" s="122"/>
      <c r="V17" s="122"/>
      <c r="W17" s="122"/>
      <c r="X17" s="121"/>
      <c r="Y17" s="120"/>
      <c r="Z17" s="121"/>
      <c r="AA17" s="117"/>
    </row>
    <row r="18" spans="1:27" ht="15" customHeight="1">
      <c r="A18" s="114" t="s">
        <v>86</v>
      </c>
      <c r="B18" s="115">
        <f>B16-B17</f>
        <v>0</v>
      </c>
      <c r="C18" s="115"/>
      <c r="D18" s="115"/>
      <c r="E18" s="115">
        <f>E16-E17</f>
        <v>0</v>
      </c>
      <c r="F18" s="115">
        <f>F16-F17</f>
        <v>0</v>
      </c>
      <c r="G18" s="115"/>
      <c r="H18" s="115">
        <f>H16-H17</f>
        <v>0</v>
      </c>
      <c r="I18" s="118"/>
      <c r="J18" s="119"/>
      <c r="K18" s="120"/>
      <c r="L18" s="120"/>
      <c r="M18" s="119"/>
      <c r="N18" s="119"/>
      <c r="O18" s="119"/>
      <c r="P18" s="121"/>
      <c r="Q18" s="122"/>
      <c r="R18" s="122"/>
      <c r="S18" s="122"/>
      <c r="T18" s="122"/>
      <c r="U18" s="122"/>
      <c r="V18" s="122"/>
      <c r="W18" s="122"/>
      <c r="X18" s="121"/>
      <c r="Y18" s="120"/>
      <c r="Z18" s="121"/>
      <c r="AA18" s="117"/>
    </row>
    <row r="19" spans="1:27" ht="15" customHeight="1">
      <c r="A19" s="123"/>
      <c r="B19" s="676" t="s">
        <v>204</v>
      </c>
      <c r="C19" s="676"/>
      <c r="D19" s="676"/>
      <c r="E19" s="676"/>
      <c r="F19" s="676"/>
      <c r="G19" s="676"/>
      <c r="H19" s="676"/>
      <c r="I19" s="115"/>
      <c r="J19" s="119">
        <f>ROUND(B18,0)</f>
        <v>0</v>
      </c>
      <c r="K19" s="119"/>
      <c r="L19" s="119"/>
      <c r="M19" s="119">
        <f>ROUND(E18,0)</f>
        <v>0</v>
      </c>
      <c r="N19" s="119">
        <f>ROUND(F18,0)</f>
        <v>0</v>
      </c>
      <c r="O19" s="119"/>
      <c r="P19" s="119">
        <f>ROUND(H18,0)</f>
        <v>0</v>
      </c>
      <c r="Q19" s="119"/>
      <c r="R19" s="115"/>
      <c r="S19" s="115"/>
      <c r="T19" s="115"/>
      <c r="U19" s="115">
        <v>0</v>
      </c>
      <c r="V19" s="119"/>
      <c r="W19" s="119"/>
      <c r="X19" s="119">
        <f>P19-W19</f>
        <v>0</v>
      </c>
      <c r="Y19" s="115"/>
      <c r="Z19" s="119">
        <f>X19-Y19</f>
        <v>0</v>
      </c>
      <c r="AA19" s="124"/>
    </row>
    <row r="20" spans="1:27" ht="15" customHeight="1">
      <c r="A20" s="114" t="s">
        <v>84</v>
      </c>
      <c r="B20" s="115">
        <v>12550</v>
      </c>
      <c r="C20" s="115"/>
      <c r="D20" s="115"/>
      <c r="E20" s="115">
        <f>ROUND(B20*16.264%,0)</f>
        <v>2041</v>
      </c>
      <c r="F20" s="115">
        <v>1569</v>
      </c>
      <c r="G20" s="115"/>
      <c r="H20" s="115">
        <f>SUM(B20:G20)</f>
        <v>16160</v>
      </c>
      <c r="I20" s="116" t="s">
        <v>206</v>
      </c>
      <c r="J20" s="119"/>
      <c r="K20" s="120"/>
      <c r="L20" s="120"/>
      <c r="M20" s="119"/>
      <c r="N20" s="119"/>
      <c r="O20" s="119"/>
      <c r="P20" s="121"/>
      <c r="Q20" s="122"/>
      <c r="R20" s="122"/>
      <c r="S20" s="122"/>
      <c r="T20" s="122"/>
      <c r="U20" s="122"/>
      <c r="V20" s="122"/>
      <c r="W20" s="122"/>
      <c r="X20" s="121"/>
      <c r="Y20" s="120"/>
      <c r="Z20" s="121"/>
      <c r="AA20" s="117"/>
    </row>
    <row r="21" spans="1:27" ht="15" customHeight="1">
      <c r="A21" s="114" t="s">
        <v>85</v>
      </c>
      <c r="B21" s="115">
        <v>12550</v>
      </c>
      <c r="C21" s="115"/>
      <c r="D21" s="115"/>
      <c r="E21" s="115">
        <f>ROUND(B21*16.264%,0)</f>
        <v>2041</v>
      </c>
      <c r="F21" s="115">
        <v>1569</v>
      </c>
      <c r="G21" s="115"/>
      <c r="H21" s="115">
        <f>SUM(B21:G21)</f>
        <v>16160</v>
      </c>
      <c r="I21" s="116" t="s">
        <v>206</v>
      </c>
      <c r="J21" s="119"/>
      <c r="K21" s="120"/>
      <c r="L21" s="120"/>
      <c r="M21" s="119"/>
      <c r="N21" s="119"/>
      <c r="O21" s="119"/>
      <c r="P21" s="121"/>
      <c r="Q21" s="122"/>
      <c r="R21" s="122"/>
      <c r="S21" s="122"/>
      <c r="T21" s="122"/>
      <c r="U21" s="122"/>
      <c r="V21" s="122"/>
      <c r="W21" s="122"/>
      <c r="X21" s="121"/>
      <c r="Y21" s="120"/>
      <c r="Z21" s="121"/>
      <c r="AA21" s="117"/>
    </row>
    <row r="22" spans="1:27" ht="15" customHeight="1">
      <c r="A22" s="114" t="s">
        <v>86</v>
      </c>
      <c r="B22" s="115">
        <f aca="true" t="shared" si="0" ref="B22:H22">B20-B21</f>
        <v>0</v>
      </c>
      <c r="C22" s="115"/>
      <c r="D22" s="115"/>
      <c r="E22" s="115">
        <f t="shared" si="0"/>
        <v>0</v>
      </c>
      <c r="F22" s="115">
        <f t="shared" si="0"/>
        <v>0</v>
      </c>
      <c r="G22" s="115"/>
      <c r="H22" s="115">
        <f t="shared" si="0"/>
        <v>0</v>
      </c>
      <c r="I22" s="118"/>
      <c r="J22" s="119"/>
      <c r="K22" s="120"/>
      <c r="L22" s="120"/>
      <c r="M22" s="119"/>
      <c r="N22" s="119"/>
      <c r="O22" s="119"/>
      <c r="P22" s="121"/>
      <c r="Q22" s="122"/>
      <c r="R22" s="122"/>
      <c r="S22" s="122"/>
      <c r="T22" s="122"/>
      <c r="U22" s="122"/>
      <c r="V22" s="122"/>
      <c r="W22" s="122"/>
      <c r="X22" s="121"/>
      <c r="Y22" s="120"/>
      <c r="Z22" s="121"/>
      <c r="AA22" s="117"/>
    </row>
    <row r="23" spans="1:27" ht="15" customHeight="1">
      <c r="A23" s="123"/>
      <c r="B23" s="676" t="s">
        <v>121</v>
      </c>
      <c r="C23" s="676"/>
      <c r="D23" s="676"/>
      <c r="E23" s="676"/>
      <c r="F23" s="676"/>
      <c r="G23" s="676"/>
      <c r="H23" s="676"/>
      <c r="I23" s="115"/>
      <c r="J23" s="119">
        <f>ROUND(B22,0)</f>
        <v>0</v>
      </c>
      <c r="K23" s="119"/>
      <c r="L23" s="119"/>
      <c r="M23" s="119">
        <f>ROUND(E22,0)</f>
        <v>0</v>
      </c>
      <c r="N23" s="119">
        <f>ROUND(F22,0)</f>
        <v>0</v>
      </c>
      <c r="O23" s="119"/>
      <c r="P23" s="119">
        <f>ROUND(H22,0)</f>
        <v>0</v>
      </c>
      <c r="Q23" s="119"/>
      <c r="R23" s="115"/>
      <c r="S23" s="115"/>
      <c r="T23" s="115"/>
      <c r="U23" s="115">
        <v>0</v>
      </c>
      <c r="V23" s="119"/>
      <c r="W23" s="119"/>
      <c r="X23" s="119">
        <f>P23-W23</f>
        <v>0</v>
      </c>
      <c r="Y23" s="115"/>
      <c r="Z23" s="119">
        <f>X23-Y23</f>
        <v>0</v>
      </c>
      <c r="AA23" s="124"/>
    </row>
    <row r="24" spans="1:27" ht="15" customHeight="1">
      <c r="A24" s="114" t="s">
        <v>84</v>
      </c>
      <c r="B24" s="115">
        <v>12550</v>
      </c>
      <c r="C24" s="115"/>
      <c r="D24" s="115"/>
      <c r="E24" s="115">
        <f>ROUND(B24*16.264%,0)</f>
        <v>2041</v>
      </c>
      <c r="F24" s="115">
        <v>1569</v>
      </c>
      <c r="G24" s="115"/>
      <c r="H24" s="115">
        <f>SUM(B24:G24)</f>
        <v>16160</v>
      </c>
      <c r="I24" s="116" t="s">
        <v>206</v>
      </c>
      <c r="J24" s="119"/>
      <c r="K24" s="120"/>
      <c r="L24" s="120"/>
      <c r="M24" s="119"/>
      <c r="N24" s="119"/>
      <c r="O24" s="119"/>
      <c r="P24" s="121"/>
      <c r="Q24" s="122"/>
      <c r="R24" s="122"/>
      <c r="S24" s="122"/>
      <c r="T24" s="122"/>
      <c r="U24" s="122"/>
      <c r="V24" s="122"/>
      <c r="W24" s="122"/>
      <c r="X24" s="121"/>
      <c r="Y24" s="120"/>
      <c r="Z24" s="121"/>
      <c r="AA24" s="117"/>
    </row>
    <row r="25" spans="1:27" ht="15" customHeight="1">
      <c r="A25" s="114" t="s">
        <v>85</v>
      </c>
      <c r="B25" s="115">
        <v>12550</v>
      </c>
      <c r="C25" s="115"/>
      <c r="D25" s="115"/>
      <c r="E25" s="115">
        <f>ROUND(B25*16.264%,0)</f>
        <v>2041</v>
      </c>
      <c r="F25" s="115">
        <v>1569</v>
      </c>
      <c r="G25" s="115"/>
      <c r="H25" s="115">
        <f>SUM(B25:G25)</f>
        <v>16160</v>
      </c>
      <c r="I25" s="116" t="s">
        <v>206</v>
      </c>
      <c r="J25" s="119"/>
      <c r="K25" s="120"/>
      <c r="L25" s="120"/>
      <c r="M25" s="119"/>
      <c r="N25" s="119"/>
      <c r="O25" s="119"/>
      <c r="P25" s="121"/>
      <c r="Q25" s="122"/>
      <c r="R25" s="122"/>
      <c r="S25" s="122"/>
      <c r="T25" s="122"/>
      <c r="U25" s="122"/>
      <c r="V25" s="122"/>
      <c r="W25" s="122"/>
      <c r="X25" s="121"/>
      <c r="Y25" s="120"/>
      <c r="Z25" s="121"/>
      <c r="AA25" s="117"/>
    </row>
    <row r="26" spans="1:27" ht="15" customHeight="1">
      <c r="A26" s="114" t="s">
        <v>86</v>
      </c>
      <c r="B26" s="115">
        <f aca="true" t="shared" si="1" ref="B26:H26">B24-B25</f>
        <v>0</v>
      </c>
      <c r="C26" s="115"/>
      <c r="D26" s="115"/>
      <c r="E26" s="115">
        <f t="shared" si="1"/>
        <v>0</v>
      </c>
      <c r="F26" s="115">
        <f t="shared" si="1"/>
        <v>0</v>
      </c>
      <c r="G26" s="115"/>
      <c r="H26" s="115">
        <f t="shared" si="1"/>
        <v>0</v>
      </c>
      <c r="I26" s="118"/>
      <c r="J26" s="119"/>
      <c r="K26" s="120"/>
      <c r="L26" s="120"/>
      <c r="M26" s="119"/>
      <c r="N26" s="119"/>
      <c r="O26" s="119"/>
      <c r="P26" s="121"/>
      <c r="Q26" s="122"/>
      <c r="R26" s="122"/>
      <c r="S26" s="122"/>
      <c r="T26" s="122"/>
      <c r="U26" s="122"/>
      <c r="V26" s="122"/>
      <c r="W26" s="122"/>
      <c r="X26" s="121"/>
      <c r="Y26" s="120"/>
      <c r="Z26" s="121"/>
      <c r="AA26" s="117"/>
    </row>
    <row r="27" spans="1:27" ht="15" customHeight="1">
      <c r="A27" s="123"/>
      <c r="B27" s="676" t="s">
        <v>120</v>
      </c>
      <c r="C27" s="676"/>
      <c r="D27" s="676"/>
      <c r="E27" s="676"/>
      <c r="F27" s="676"/>
      <c r="G27" s="676"/>
      <c r="H27" s="676"/>
      <c r="I27" s="115"/>
      <c r="J27" s="119">
        <f>ROUND(B26,0)</f>
        <v>0</v>
      </c>
      <c r="K27" s="119"/>
      <c r="L27" s="119"/>
      <c r="M27" s="119">
        <f>ROUND(E26,0)</f>
        <v>0</v>
      </c>
      <c r="N27" s="119">
        <f>ROUND(F26,0)</f>
        <v>0</v>
      </c>
      <c r="O27" s="119"/>
      <c r="P27" s="119">
        <f>ROUND(H26,0)</f>
        <v>0</v>
      </c>
      <c r="Q27" s="119"/>
      <c r="R27" s="115"/>
      <c r="S27" s="115"/>
      <c r="T27" s="115"/>
      <c r="U27" s="115">
        <v>0</v>
      </c>
      <c r="V27" s="119"/>
      <c r="W27" s="119"/>
      <c r="X27" s="119">
        <f>P27-W27</f>
        <v>0</v>
      </c>
      <c r="Y27" s="115"/>
      <c r="Z27" s="119">
        <f>X27-Y27</f>
        <v>0</v>
      </c>
      <c r="AA27" s="124"/>
    </row>
    <row r="28" spans="1:27" ht="15" customHeight="1">
      <c r="A28" s="114" t="s">
        <v>84</v>
      </c>
      <c r="B28" s="115">
        <v>12550</v>
      </c>
      <c r="C28" s="115"/>
      <c r="D28" s="115"/>
      <c r="E28" s="115">
        <f>ROUND(B28*16.264%,0)</f>
        <v>2041</v>
      </c>
      <c r="F28" s="115">
        <v>1569</v>
      </c>
      <c r="G28" s="115"/>
      <c r="H28" s="115">
        <f>SUM(B28:G28)</f>
        <v>16160</v>
      </c>
      <c r="I28" s="116" t="s">
        <v>206</v>
      </c>
      <c r="J28" s="119"/>
      <c r="K28" s="120"/>
      <c r="L28" s="120"/>
      <c r="M28" s="119"/>
      <c r="N28" s="119"/>
      <c r="O28" s="119"/>
      <c r="P28" s="121"/>
      <c r="Q28" s="122"/>
      <c r="R28" s="122"/>
      <c r="S28" s="122"/>
      <c r="T28" s="122"/>
      <c r="U28" s="122"/>
      <c r="V28" s="122"/>
      <c r="W28" s="122"/>
      <c r="X28" s="121"/>
      <c r="Y28" s="120"/>
      <c r="Z28" s="121"/>
      <c r="AA28" s="117"/>
    </row>
    <row r="29" spans="1:27" ht="12.75">
      <c r="A29" s="114" t="s">
        <v>85</v>
      </c>
      <c r="B29" s="115">
        <v>12550</v>
      </c>
      <c r="C29" s="115"/>
      <c r="D29" s="115"/>
      <c r="E29" s="115">
        <f>ROUND(B29*16.264%,0)</f>
        <v>2041</v>
      </c>
      <c r="F29" s="115">
        <v>1569</v>
      </c>
      <c r="G29" s="115"/>
      <c r="H29" s="115">
        <f>SUM(B29:G29)</f>
        <v>16160</v>
      </c>
      <c r="I29" s="116" t="s">
        <v>206</v>
      </c>
      <c r="J29" s="119"/>
      <c r="K29" s="120"/>
      <c r="L29" s="120"/>
      <c r="M29" s="119"/>
      <c r="N29" s="119"/>
      <c r="O29" s="119"/>
      <c r="P29" s="121"/>
      <c r="Q29" s="122"/>
      <c r="R29" s="122"/>
      <c r="S29" s="122"/>
      <c r="T29" s="122"/>
      <c r="U29" s="122"/>
      <c r="V29" s="122"/>
      <c r="W29" s="122"/>
      <c r="X29" s="121"/>
      <c r="Y29" s="120"/>
      <c r="Z29" s="121"/>
      <c r="AA29" s="117"/>
    </row>
    <row r="30" spans="1:27" ht="15" customHeight="1">
      <c r="A30" s="114" t="s">
        <v>86</v>
      </c>
      <c r="B30" s="115">
        <f>B28-B29</f>
        <v>0</v>
      </c>
      <c r="C30" s="115"/>
      <c r="D30" s="115"/>
      <c r="E30" s="115">
        <f>E28-E29</f>
        <v>0</v>
      </c>
      <c r="F30" s="115">
        <f>F28-F29</f>
        <v>0</v>
      </c>
      <c r="G30" s="115"/>
      <c r="H30" s="115">
        <f>H28-H29</f>
        <v>0</v>
      </c>
      <c r="I30" s="118"/>
      <c r="J30" s="119"/>
      <c r="K30" s="120"/>
      <c r="L30" s="120"/>
      <c r="M30" s="119"/>
      <c r="N30" s="119"/>
      <c r="O30" s="119"/>
      <c r="P30" s="121"/>
      <c r="Q30" s="122"/>
      <c r="R30" s="122"/>
      <c r="S30" s="122"/>
      <c r="T30" s="122"/>
      <c r="U30" s="122"/>
      <c r="V30" s="122"/>
      <c r="W30" s="122"/>
      <c r="X30" s="121"/>
      <c r="Y30" s="120"/>
      <c r="Z30" s="121"/>
      <c r="AA30" s="117"/>
    </row>
    <row r="31" spans="1:27" ht="15" customHeight="1">
      <c r="A31" s="123"/>
      <c r="B31" s="676" t="s">
        <v>131</v>
      </c>
      <c r="C31" s="676"/>
      <c r="D31" s="676"/>
      <c r="E31" s="676"/>
      <c r="F31" s="676"/>
      <c r="G31" s="676"/>
      <c r="H31" s="676"/>
      <c r="I31" s="115"/>
      <c r="J31" s="119">
        <f>ROUND(B30,0)</f>
        <v>0</v>
      </c>
      <c r="K31" s="119"/>
      <c r="L31" s="119"/>
      <c r="M31" s="119">
        <f>ROUND(E30,0)</f>
        <v>0</v>
      </c>
      <c r="N31" s="119">
        <f>ROUND(F30,0)</f>
        <v>0</v>
      </c>
      <c r="O31" s="119"/>
      <c r="P31" s="119">
        <f>ROUND(H30,0)</f>
        <v>0</v>
      </c>
      <c r="Q31" s="119"/>
      <c r="R31" s="115"/>
      <c r="S31" s="115"/>
      <c r="T31" s="115"/>
      <c r="U31" s="115">
        <v>0</v>
      </c>
      <c r="V31" s="119"/>
      <c r="W31" s="119"/>
      <c r="X31" s="119">
        <f>P31-W31</f>
        <v>0</v>
      </c>
      <c r="Y31" s="115"/>
      <c r="Z31" s="119">
        <f>X31-Y31</f>
        <v>0</v>
      </c>
      <c r="AA31" s="124"/>
    </row>
    <row r="32" spans="1:27" ht="15" customHeight="1">
      <c r="A32" s="114" t="s">
        <v>84</v>
      </c>
      <c r="B32" s="115">
        <v>12910</v>
      </c>
      <c r="C32" s="115"/>
      <c r="D32" s="115"/>
      <c r="E32" s="115">
        <f>ROUND(B32*24.824%,0)</f>
        <v>3205</v>
      </c>
      <c r="F32" s="115">
        <f>ROUND(B32*12.5%,0)</f>
        <v>1614</v>
      </c>
      <c r="G32" s="115"/>
      <c r="H32" s="115">
        <f>SUM(B32:G32)</f>
        <v>17729</v>
      </c>
      <c r="I32" s="116" t="s">
        <v>206</v>
      </c>
      <c r="J32" s="119"/>
      <c r="K32" s="120"/>
      <c r="L32" s="120"/>
      <c r="M32" s="119"/>
      <c r="N32" s="119"/>
      <c r="O32" s="119"/>
      <c r="P32" s="121"/>
      <c r="Q32" s="122"/>
      <c r="R32" s="122"/>
      <c r="S32" s="122"/>
      <c r="T32" s="122"/>
      <c r="U32" s="122"/>
      <c r="V32" s="122"/>
      <c r="W32" s="122"/>
      <c r="X32" s="121"/>
      <c r="Y32" s="120"/>
      <c r="Z32" s="121"/>
      <c r="AA32" s="117"/>
    </row>
    <row r="33" spans="1:27" ht="15" customHeight="1">
      <c r="A33" s="114" t="s">
        <v>85</v>
      </c>
      <c r="B33" s="115">
        <v>12550</v>
      </c>
      <c r="C33" s="115"/>
      <c r="D33" s="115"/>
      <c r="E33" s="115">
        <f>ROUND(B33*24.824%,0)</f>
        <v>3115</v>
      </c>
      <c r="F33" s="115">
        <v>1569</v>
      </c>
      <c r="G33" s="115"/>
      <c r="H33" s="115">
        <f>SUM(B33:G33)</f>
        <v>17234</v>
      </c>
      <c r="I33" s="116" t="s">
        <v>206</v>
      </c>
      <c r="J33" s="119"/>
      <c r="K33" s="120"/>
      <c r="L33" s="120"/>
      <c r="M33" s="119"/>
      <c r="N33" s="119"/>
      <c r="O33" s="119"/>
      <c r="P33" s="121"/>
      <c r="Q33" s="122"/>
      <c r="R33" s="122"/>
      <c r="S33" s="122"/>
      <c r="T33" s="122"/>
      <c r="U33" s="122"/>
      <c r="V33" s="122"/>
      <c r="W33" s="122"/>
      <c r="X33" s="121"/>
      <c r="Y33" s="120"/>
      <c r="Z33" s="121"/>
      <c r="AA33" s="117"/>
    </row>
    <row r="34" spans="1:27" ht="15" customHeight="1">
      <c r="A34" s="114" t="s">
        <v>86</v>
      </c>
      <c r="B34" s="115">
        <f>B32-B33</f>
        <v>360</v>
      </c>
      <c r="C34" s="115"/>
      <c r="D34" s="115"/>
      <c r="E34" s="115">
        <f>E32-E33</f>
        <v>90</v>
      </c>
      <c r="F34" s="115">
        <f>F32-F33</f>
        <v>45</v>
      </c>
      <c r="G34" s="115"/>
      <c r="H34" s="115">
        <f>H32-H33</f>
        <v>495</v>
      </c>
      <c r="I34" s="118"/>
      <c r="J34" s="119"/>
      <c r="K34" s="120"/>
      <c r="L34" s="120"/>
      <c r="M34" s="119"/>
      <c r="N34" s="119"/>
      <c r="O34" s="119"/>
      <c r="P34" s="121"/>
      <c r="Q34" s="122"/>
      <c r="R34" s="122"/>
      <c r="S34" s="122"/>
      <c r="T34" s="122"/>
      <c r="U34" s="122"/>
      <c r="V34" s="122"/>
      <c r="W34" s="122"/>
      <c r="X34" s="121"/>
      <c r="Y34" s="120"/>
      <c r="Z34" s="121"/>
      <c r="AA34" s="117"/>
    </row>
    <row r="35" spans="1:27" ht="15" customHeight="1">
      <c r="A35" s="123"/>
      <c r="B35" s="676" t="s">
        <v>132</v>
      </c>
      <c r="C35" s="676"/>
      <c r="D35" s="676"/>
      <c r="E35" s="676"/>
      <c r="F35" s="676"/>
      <c r="G35" s="676"/>
      <c r="H35" s="676"/>
      <c r="I35" s="115"/>
      <c r="J35" s="119">
        <f>ROUND(B34,0)</f>
        <v>360</v>
      </c>
      <c r="K35" s="119"/>
      <c r="L35" s="119"/>
      <c r="M35" s="119">
        <f>ROUND(E34,0)</f>
        <v>90</v>
      </c>
      <c r="N35" s="119">
        <f>ROUND(F34,0)</f>
        <v>45</v>
      </c>
      <c r="O35" s="119"/>
      <c r="P35" s="119">
        <f>ROUND(H34,0)</f>
        <v>495</v>
      </c>
      <c r="Q35" s="119"/>
      <c r="R35" s="115"/>
      <c r="S35" s="115"/>
      <c r="T35" s="115"/>
      <c r="U35" s="115">
        <v>0</v>
      </c>
      <c r="V35" s="119"/>
      <c r="W35" s="119"/>
      <c r="X35" s="119">
        <f>P35-W35</f>
        <v>495</v>
      </c>
      <c r="Y35" s="115"/>
      <c r="Z35" s="119">
        <f>X35-Y35</f>
        <v>495</v>
      </c>
      <c r="AA35" s="124"/>
    </row>
    <row r="36" spans="1:27" ht="15" customHeight="1">
      <c r="A36" s="129" t="s">
        <v>84</v>
      </c>
      <c r="B36" s="115">
        <v>12910</v>
      </c>
      <c r="C36" s="130"/>
      <c r="D36" s="130"/>
      <c r="E36" s="115">
        <f>ROUND(B36*24.824%,0)</f>
        <v>3205</v>
      </c>
      <c r="F36" s="130">
        <v>1614</v>
      </c>
      <c r="G36" s="115"/>
      <c r="H36" s="130">
        <f>SUM(B36:G36)</f>
        <v>17729</v>
      </c>
      <c r="I36" s="116" t="s">
        <v>206</v>
      </c>
      <c r="J36" s="131"/>
      <c r="K36" s="132"/>
      <c r="L36" s="132"/>
      <c r="M36" s="131"/>
      <c r="N36" s="131"/>
      <c r="O36" s="131"/>
      <c r="P36" s="133"/>
      <c r="Q36" s="134"/>
      <c r="R36" s="134"/>
      <c r="S36" s="134"/>
      <c r="T36" s="134"/>
      <c r="U36" s="134"/>
      <c r="V36" s="134"/>
      <c r="W36" s="134"/>
      <c r="X36" s="133"/>
      <c r="Y36" s="132"/>
      <c r="Z36" s="133"/>
      <c r="AA36" s="135"/>
    </row>
    <row r="37" spans="1:27" ht="12.75">
      <c r="A37" s="114" t="s">
        <v>85</v>
      </c>
      <c r="B37" s="115">
        <v>12550</v>
      </c>
      <c r="C37" s="115"/>
      <c r="D37" s="115"/>
      <c r="E37" s="115">
        <f>ROUND(B37*24.824%,0)</f>
        <v>3115</v>
      </c>
      <c r="F37" s="115">
        <v>1569</v>
      </c>
      <c r="G37" s="115"/>
      <c r="H37" s="115">
        <f>SUM(B37:G37)</f>
        <v>17234</v>
      </c>
      <c r="I37" s="116" t="s">
        <v>206</v>
      </c>
      <c r="J37" s="119"/>
      <c r="K37" s="120"/>
      <c r="L37" s="120"/>
      <c r="M37" s="119"/>
      <c r="N37" s="119"/>
      <c r="O37" s="119"/>
      <c r="P37" s="121"/>
      <c r="Q37" s="122"/>
      <c r="R37" s="122"/>
      <c r="S37" s="122"/>
      <c r="T37" s="122"/>
      <c r="U37" s="122"/>
      <c r="V37" s="122"/>
      <c r="W37" s="122"/>
      <c r="X37" s="121"/>
      <c r="Y37" s="120"/>
      <c r="Z37" s="121"/>
      <c r="AA37" s="117"/>
    </row>
    <row r="38" spans="1:27" ht="15" customHeight="1">
      <c r="A38" s="114" t="s">
        <v>86</v>
      </c>
      <c r="B38" s="115">
        <f>B36-B37</f>
        <v>360</v>
      </c>
      <c r="C38" s="115"/>
      <c r="D38" s="115"/>
      <c r="E38" s="115">
        <f>E36-E37</f>
        <v>90</v>
      </c>
      <c r="F38" s="115">
        <f>F36-F37</f>
        <v>45</v>
      </c>
      <c r="G38" s="115"/>
      <c r="H38" s="115">
        <f>H36-H37</f>
        <v>495</v>
      </c>
      <c r="I38" s="118"/>
      <c r="J38" s="119"/>
      <c r="K38" s="120"/>
      <c r="L38" s="120"/>
      <c r="M38" s="119"/>
      <c r="N38" s="119"/>
      <c r="O38" s="119"/>
      <c r="P38" s="121"/>
      <c r="Q38" s="122"/>
      <c r="R38" s="122"/>
      <c r="S38" s="122"/>
      <c r="T38" s="122"/>
      <c r="U38" s="122"/>
      <c r="V38" s="122"/>
      <c r="W38" s="122"/>
      <c r="X38" s="121"/>
      <c r="Y38" s="120"/>
      <c r="Z38" s="121"/>
      <c r="AA38" s="117"/>
    </row>
    <row r="39" spans="1:27" ht="15" customHeight="1">
      <c r="A39" s="123"/>
      <c r="B39" s="676" t="s">
        <v>133</v>
      </c>
      <c r="C39" s="676"/>
      <c r="D39" s="676"/>
      <c r="E39" s="676"/>
      <c r="F39" s="676"/>
      <c r="G39" s="676"/>
      <c r="H39" s="676"/>
      <c r="I39" s="115"/>
      <c r="J39" s="119">
        <f>ROUND(B38,0)</f>
        <v>360</v>
      </c>
      <c r="K39" s="119"/>
      <c r="L39" s="119"/>
      <c r="M39" s="119">
        <f>ROUND(E38,0)</f>
        <v>90</v>
      </c>
      <c r="N39" s="119">
        <f>ROUND(F38,0)</f>
        <v>45</v>
      </c>
      <c r="O39" s="119"/>
      <c r="P39" s="119">
        <f>ROUND(H38,0)</f>
        <v>495</v>
      </c>
      <c r="Q39" s="119"/>
      <c r="R39" s="115"/>
      <c r="S39" s="115"/>
      <c r="T39" s="115"/>
      <c r="U39" s="115">
        <v>0</v>
      </c>
      <c r="V39" s="119"/>
      <c r="W39" s="119"/>
      <c r="X39" s="119">
        <f>P39-W39</f>
        <v>495</v>
      </c>
      <c r="Y39" s="115"/>
      <c r="Z39" s="119">
        <f>X39-Y39</f>
        <v>495</v>
      </c>
      <c r="AA39" s="124"/>
    </row>
    <row r="40" spans="1:27" ht="15" customHeight="1">
      <c r="A40" s="114" t="s">
        <v>84</v>
      </c>
      <c r="B40" s="115">
        <v>12910</v>
      </c>
      <c r="C40" s="115"/>
      <c r="D40" s="115"/>
      <c r="E40" s="115">
        <f>ROUND(B40*24.824%,0)</f>
        <v>3205</v>
      </c>
      <c r="F40" s="115">
        <v>1614</v>
      </c>
      <c r="G40" s="115"/>
      <c r="H40" s="115">
        <f>SUM(B40:G40)</f>
        <v>17729</v>
      </c>
      <c r="I40" s="116" t="s">
        <v>206</v>
      </c>
      <c r="J40" s="119"/>
      <c r="K40" s="120"/>
      <c r="L40" s="120"/>
      <c r="M40" s="119"/>
      <c r="N40" s="119"/>
      <c r="O40" s="119"/>
      <c r="P40" s="121"/>
      <c r="Q40" s="122"/>
      <c r="R40" s="122"/>
      <c r="S40" s="122"/>
      <c r="T40" s="122"/>
      <c r="U40" s="122"/>
      <c r="V40" s="122"/>
      <c r="W40" s="122"/>
      <c r="X40" s="121"/>
      <c r="Y40" s="120"/>
      <c r="Z40" s="121"/>
      <c r="AA40" s="117"/>
    </row>
    <row r="41" spans="1:27" ht="15" customHeight="1">
      <c r="A41" s="114" t="s">
        <v>85</v>
      </c>
      <c r="B41" s="115">
        <v>12550</v>
      </c>
      <c r="C41" s="115"/>
      <c r="D41" s="115"/>
      <c r="E41" s="115">
        <f>ROUND(B41*24.824%,0)</f>
        <v>3115</v>
      </c>
      <c r="F41" s="115">
        <v>1569</v>
      </c>
      <c r="G41" s="115"/>
      <c r="H41" s="115">
        <f>SUM(B41:G41)</f>
        <v>17234</v>
      </c>
      <c r="I41" s="116" t="s">
        <v>206</v>
      </c>
      <c r="J41" s="119"/>
      <c r="K41" s="120"/>
      <c r="L41" s="120"/>
      <c r="M41" s="119"/>
      <c r="N41" s="119"/>
      <c r="O41" s="119"/>
      <c r="P41" s="121"/>
      <c r="Q41" s="122"/>
      <c r="R41" s="122"/>
      <c r="S41" s="122"/>
      <c r="T41" s="122"/>
      <c r="U41" s="122"/>
      <c r="V41" s="122"/>
      <c r="W41" s="122"/>
      <c r="X41" s="121"/>
      <c r="Y41" s="120"/>
      <c r="Z41" s="121"/>
      <c r="AA41" s="117"/>
    </row>
    <row r="42" spans="1:27" ht="15" customHeight="1">
      <c r="A42" s="114" t="s">
        <v>86</v>
      </c>
      <c r="B42" s="115">
        <f>B40-B41</f>
        <v>360</v>
      </c>
      <c r="C42" s="115"/>
      <c r="D42" s="115"/>
      <c r="E42" s="115">
        <f>E40-E41</f>
        <v>90</v>
      </c>
      <c r="F42" s="115">
        <f>F40-F41</f>
        <v>45</v>
      </c>
      <c r="G42" s="115"/>
      <c r="H42" s="115">
        <f>H40-H41</f>
        <v>495</v>
      </c>
      <c r="I42" s="118"/>
      <c r="J42" s="119"/>
      <c r="K42" s="120"/>
      <c r="L42" s="120"/>
      <c r="M42" s="119"/>
      <c r="N42" s="119"/>
      <c r="O42" s="119"/>
      <c r="P42" s="121"/>
      <c r="Q42" s="122"/>
      <c r="R42" s="122"/>
      <c r="S42" s="122"/>
      <c r="T42" s="122"/>
      <c r="U42" s="122"/>
      <c r="V42" s="122"/>
      <c r="W42" s="122"/>
      <c r="X42" s="121"/>
      <c r="Y42" s="120"/>
      <c r="Z42" s="121"/>
      <c r="AA42" s="117"/>
    </row>
    <row r="43" spans="1:27" ht="15" customHeight="1">
      <c r="A43" s="125"/>
      <c r="B43" s="680" t="s">
        <v>134</v>
      </c>
      <c r="C43" s="680"/>
      <c r="D43" s="680"/>
      <c r="E43" s="680"/>
      <c r="F43" s="680"/>
      <c r="G43" s="680"/>
      <c r="H43" s="680"/>
      <c r="I43" s="126"/>
      <c r="J43" s="127">
        <f>ROUND(B42,0)</f>
        <v>360</v>
      </c>
      <c r="K43" s="127"/>
      <c r="L43" s="127"/>
      <c r="M43" s="127">
        <f>ROUND(E42,0)</f>
        <v>90</v>
      </c>
      <c r="N43" s="127">
        <f>ROUND(F42,0)</f>
        <v>45</v>
      </c>
      <c r="O43" s="119"/>
      <c r="P43" s="127">
        <f>ROUND(H42,0)</f>
        <v>495</v>
      </c>
      <c r="Q43" s="127"/>
      <c r="R43" s="126"/>
      <c r="S43" s="126"/>
      <c r="T43" s="126"/>
      <c r="U43" s="126">
        <v>0</v>
      </c>
      <c r="V43" s="127"/>
      <c r="W43" s="127"/>
      <c r="X43" s="127">
        <f>P43-W43</f>
        <v>495</v>
      </c>
      <c r="Y43" s="126"/>
      <c r="Z43" s="127">
        <f>X43-Y43</f>
        <v>495</v>
      </c>
      <c r="AA43" s="128"/>
    </row>
    <row r="44" spans="1:27" ht="15" customHeight="1">
      <c r="A44" s="114" t="s">
        <v>84</v>
      </c>
      <c r="B44" s="115">
        <v>12910</v>
      </c>
      <c r="C44" s="115"/>
      <c r="D44" s="115"/>
      <c r="E44" s="115">
        <f>ROUND(B44*24.824%,0)</f>
        <v>3205</v>
      </c>
      <c r="F44" s="115">
        <v>1614</v>
      </c>
      <c r="G44" s="115"/>
      <c r="H44" s="115">
        <f>SUM(B44:G44)</f>
        <v>17729</v>
      </c>
      <c r="I44" s="116" t="s">
        <v>206</v>
      </c>
      <c r="J44" s="119"/>
      <c r="K44" s="120"/>
      <c r="L44" s="120"/>
      <c r="M44" s="119"/>
      <c r="N44" s="119"/>
      <c r="O44" s="119"/>
      <c r="P44" s="121"/>
      <c r="Q44" s="122"/>
      <c r="R44" s="122"/>
      <c r="S44" s="122"/>
      <c r="T44" s="122"/>
      <c r="U44" s="122"/>
      <c r="V44" s="122"/>
      <c r="W44" s="122"/>
      <c r="X44" s="121"/>
      <c r="Y44" s="120"/>
      <c r="Z44" s="121"/>
      <c r="AA44" s="117"/>
    </row>
    <row r="45" spans="1:27" ht="15" customHeight="1">
      <c r="A45" s="114" t="s">
        <v>85</v>
      </c>
      <c r="B45" s="115">
        <v>12550</v>
      </c>
      <c r="C45" s="115"/>
      <c r="D45" s="115"/>
      <c r="E45" s="115">
        <f>ROUND(B45*24.824%,0)</f>
        <v>3115</v>
      </c>
      <c r="F45" s="115">
        <v>1569</v>
      </c>
      <c r="G45" s="115"/>
      <c r="H45" s="115">
        <f>SUM(B45:G45)</f>
        <v>17234</v>
      </c>
      <c r="I45" s="116" t="s">
        <v>206</v>
      </c>
      <c r="J45" s="119"/>
      <c r="K45" s="120"/>
      <c r="L45" s="120"/>
      <c r="M45" s="119"/>
      <c r="N45" s="119"/>
      <c r="O45" s="119"/>
      <c r="P45" s="121"/>
      <c r="Q45" s="122"/>
      <c r="R45" s="122"/>
      <c r="S45" s="122"/>
      <c r="T45" s="122"/>
      <c r="U45" s="122"/>
      <c r="V45" s="122"/>
      <c r="W45" s="122"/>
      <c r="X45" s="121"/>
      <c r="Y45" s="120"/>
      <c r="Z45" s="121"/>
      <c r="AA45" s="117"/>
    </row>
    <row r="46" spans="1:27" ht="15" customHeight="1">
      <c r="A46" s="114" t="s">
        <v>86</v>
      </c>
      <c r="B46" s="115">
        <f>B44-B45</f>
        <v>360</v>
      </c>
      <c r="C46" s="115"/>
      <c r="D46" s="115"/>
      <c r="E46" s="115">
        <f>E44-E45</f>
        <v>90</v>
      </c>
      <c r="F46" s="115">
        <f>F44-F45</f>
        <v>45</v>
      </c>
      <c r="G46" s="115"/>
      <c r="H46" s="115">
        <f>H44-H45</f>
        <v>495</v>
      </c>
      <c r="I46" s="118"/>
      <c r="J46" s="119"/>
      <c r="K46" s="120"/>
      <c r="L46" s="120"/>
      <c r="M46" s="119"/>
      <c r="N46" s="119"/>
      <c r="O46" s="119"/>
      <c r="P46" s="121"/>
      <c r="Q46" s="122"/>
      <c r="R46" s="122"/>
      <c r="S46" s="122"/>
      <c r="T46" s="122"/>
      <c r="U46" s="122"/>
      <c r="V46" s="122"/>
      <c r="W46" s="122"/>
      <c r="X46" s="121"/>
      <c r="Y46" s="120"/>
      <c r="Z46" s="121"/>
      <c r="AA46" s="117"/>
    </row>
    <row r="47" spans="1:27" ht="15" customHeight="1">
      <c r="A47" s="125"/>
      <c r="B47" s="680" t="s">
        <v>202</v>
      </c>
      <c r="C47" s="680"/>
      <c r="D47" s="680"/>
      <c r="E47" s="680"/>
      <c r="F47" s="680"/>
      <c r="G47" s="680"/>
      <c r="H47" s="680"/>
      <c r="I47" s="126"/>
      <c r="J47" s="127">
        <f>ROUND(B46,0)</f>
        <v>360</v>
      </c>
      <c r="K47" s="127"/>
      <c r="L47" s="127"/>
      <c r="M47" s="127">
        <f>ROUND(E46,0)</f>
        <v>90</v>
      </c>
      <c r="N47" s="127">
        <f>ROUND(F46,0)</f>
        <v>45</v>
      </c>
      <c r="O47" s="119"/>
      <c r="P47" s="127">
        <f>ROUND(H46,0)</f>
        <v>495</v>
      </c>
      <c r="Q47" s="127"/>
      <c r="R47" s="126"/>
      <c r="S47" s="126"/>
      <c r="T47" s="126"/>
      <c r="U47" s="126">
        <v>0</v>
      </c>
      <c r="V47" s="127"/>
      <c r="W47" s="127"/>
      <c r="X47" s="127">
        <f>P47-W47</f>
        <v>495</v>
      </c>
      <c r="Y47" s="126"/>
      <c r="Z47" s="127">
        <f>X47-Y47</f>
        <v>495</v>
      </c>
      <c r="AA47" s="128"/>
    </row>
    <row r="48" spans="1:27" ht="15" customHeight="1">
      <c r="A48" s="114" t="s">
        <v>84</v>
      </c>
      <c r="B48" s="115">
        <v>12910</v>
      </c>
      <c r="C48" s="115"/>
      <c r="D48" s="115"/>
      <c r="E48" s="115">
        <f>ROUND(B48*24.824%,0)</f>
        <v>3205</v>
      </c>
      <c r="F48" s="115">
        <v>1614</v>
      </c>
      <c r="G48" s="115"/>
      <c r="H48" s="115">
        <f>SUM(B48:G48)</f>
        <v>17729</v>
      </c>
      <c r="I48" s="116" t="s">
        <v>206</v>
      </c>
      <c r="J48" s="119"/>
      <c r="K48" s="120"/>
      <c r="L48" s="120"/>
      <c r="M48" s="119"/>
      <c r="N48" s="119"/>
      <c r="O48" s="119"/>
      <c r="P48" s="121"/>
      <c r="Q48" s="122"/>
      <c r="R48" s="122"/>
      <c r="S48" s="122"/>
      <c r="T48" s="122"/>
      <c r="U48" s="122"/>
      <c r="V48" s="122"/>
      <c r="W48" s="122"/>
      <c r="X48" s="121"/>
      <c r="Y48" s="120"/>
      <c r="Z48" s="121"/>
      <c r="AA48" s="117"/>
    </row>
    <row r="49" spans="1:27" ht="15" customHeight="1">
      <c r="A49" s="114" t="s">
        <v>85</v>
      </c>
      <c r="B49" s="115">
        <v>12550</v>
      </c>
      <c r="C49" s="115"/>
      <c r="D49" s="115"/>
      <c r="E49" s="115">
        <f>ROUND(B49*24.824%,0)</f>
        <v>3115</v>
      </c>
      <c r="F49" s="115">
        <v>1569</v>
      </c>
      <c r="G49" s="115"/>
      <c r="H49" s="115">
        <f>SUM(B49:G49)</f>
        <v>17234</v>
      </c>
      <c r="I49" s="116" t="s">
        <v>206</v>
      </c>
      <c r="J49" s="119"/>
      <c r="K49" s="120"/>
      <c r="L49" s="120"/>
      <c r="M49" s="119"/>
      <c r="N49" s="119"/>
      <c r="O49" s="119"/>
      <c r="P49" s="121"/>
      <c r="Q49" s="122"/>
      <c r="R49" s="122"/>
      <c r="S49" s="122"/>
      <c r="T49" s="122"/>
      <c r="U49" s="122"/>
      <c r="V49" s="122"/>
      <c r="W49" s="122"/>
      <c r="X49" s="121"/>
      <c r="Y49" s="120"/>
      <c r="Z49" s="121"/>
      <c r="AA49" s="117"/>
    </row>
    <row r="50" spans="1:27" ht="15" customHeight="1">
      <c r="A50" s="114" t="s">
        <v>86</v>
      </c>
      <c r="B50" s="115">
        <f>B48-B49</f>
        <v>360</v>
      </c>
      <c r="C50" s="115"/>
      <c r="D50" s="115"/>
      <c r="E50" s="115">
        <f>E48-E49</f>
        <v>90</v>
      </c>
      <c r="F50" s="115">
        <f>F48-F49</f>
        <v>45</v>
      </c>
      <c r="G50" s="115"/>
      <c r="H50" s="115">
        <f>H48-H49</f>
        <v>495</v>
      </c>
      <c r="I50" s="118"/>
      <c r="J50" s="119"/>
      <c r="K50" s="120"/>
      <c r="L50" s="120"/>
      <c r="M50" s="119"/>
      <c r="N50" s="119"/>
      <c r="O50" s="119"/>
      <c r="P50" s="121"/>
      <c r="Q50" s="122"/>
      <c r="R50" s="122"/>
      <c r="S50" s="122"/>
      <c r="T50" s="122"/>
      <c r="U50" s="122"/>
      <c r="V50" s="122"/>
      <c r="W50" s="122"/>
      <c r="X50" s="121"/>
      <c r="Y50" s="120"/>
      <c r="Z50" s="121"/>
      <c r="AA50" s="117"/>
    </row>
    <row r="51" spans="1:27" ht="15" customHeight="1">
      <c r="A51" s="125"/>
      <c r="B51" s="680" t="s">
        <v>203</v>
      </c>
      <c r="C51" s="680"/>
      <c r="D51" s="680"/>
      <c r="E51" s="680"/>
      <c r="F51" s="680"/>
      <c r="G51" s="680"/>
      <c r="H51" s="680"/>
      <c r="I51" s="126"/>
      <c r="J51" s="127">
        <f>ROUND(B50,0)</f>
        <v>360</v>
      </c>
      <c r="K51" s="127"/>
      <c r="L51" s="127"/>
      <c r="M51" s="127">
        <f>ROUND(E50,0)</f>
        <v>90</v>
      </c>
      <c r="N51" s="127">
        <f>ROUND(F50,0)</f>
        <v>45</v>
      </c>
      <c r="O51" s="119"/>
      <c r="P51" s="127">
        <f>ROUND(H50,0)</f>
        <v>495</v>
      </c>
      <c r="Q51" s="127"/>
      <c r="R51" s="126"/>
      <c r="S51" s="126"/>
      <c r="T51" s="126"/>
      <c r="U51" s="126">
        <v>0</v>
      </c>
      <c r="V51" s="127"/>
      <c r="W51" s="127"/>
      <c r="X51" s="127">
        <f>P51-W51</f>
        <v>495</v>
      </c>
      <c r="Y51" s="126"/>
      <c r="Z51" s="127">
        <f>X51-Y51</f>
        <v>495</v>
      </c>
      <c r="AA51" s="128"/>
    </row>
    <row r="52" spans="1:27" ht="15" customHeight="1">
      <c r="A52" s="195"/>
      <c r="B52" s="196">
        <v>13270</v>
      </c>
      <c r="C52" s="196"/>
      <c r="D52" s="196"/>
      <c r="E52" s="175">
        <f>ROUND(B52*29.96%,0)</f>
        <v>3976</v>
      </c>
      <c r="F52" s="175">
        <f>ROUND(B52*14.5%,0)</f>
        <v>1924</v>
      </c>
      <c r="G52" s="196"/>
      <c r="H52" s="115">
        <f>SUM(B52:G52)</f>
        <v>19170</v>
      </c>
      <c r="I52" s="116" t="s">
        <v>206</v>
      </c>
      <c r="J52" s="197"/>
      <c r="K52" s="197"/>
      <c r="L52" s="197"/>
      <c r="M52" s="197"/>
      <c r="N52" s="197"/>
      <c r="O52" s="96"/>
      <c r="P52" s="197"/>
      <c r="Q52" s="197"/>
      <c r="R52" s="196"/>
      <c r="S52" s="196"/>
      <c r="T52" s="196"/>
      <c r="U52" s="196"/>
      <c r="V52" s="197"/>
      <c r="W52" s="197"/>
      <c r="X52" s="197"/>
      <c r="Y52" s="196"/>
      <c r="Z52" s="197"/>
      <c r="AA52" s="198"/>
    </row>
    <row r="53" spans="1:27" ht="15" customHeight="1">
      <c r="A53" s="195"/>
      <c r="B53" s="196">
        <v>12910</v>
      </c>
      <c r="C53" s="196"/>
      <c r="D53" s="196"/>
      <c r="E53" s="175">
        <f>ROUND(B53*29.96%,0)</f>
        <v>3868</v>
      </c>
      <c r="F53" s="175">
        <f>ROUND(B53*14.5%,0)</f>
        <v>1872</v>
      </c>
      <c r="G53" s="196"/>
      <c r="H53" s="115">
        <f>SUM(B53:G53)</f>
        <v>18650</v>
      </c>
      <c r="I53" s="116" t="s">
        <v>206</v>
      </c>
      <c r="J53" s="197"/>
      <c r="K53" s="197"/>
      <c r="L53" s="197"/>
      <c r="M53" s="197"/>
      <c r="N53" s="197"/>
      <c r="O53" s="96"/>
      <c r="P53" s="197"/>
      <c r="Q53" s="197"/>
      <c r="R53" s="196"/>
      <c r="S53" s="196"/>
      <c r="T53" s="196"/>
      <c r="U53" s="196"/>
      <c r="V53" s="197"/>
      <c r="W53" s="197"/>
      <c r="X53" s="197"/>
      <c r="Y53" s="196"/>
      <c r="Z53" s="197"/>
      <c r="AA53" s="198"/>
    </row>
    <row r="54" spans="1:27" ht="15" customHeight="1">
      <c r="A54" s="195"/>
      <c r="B54" s="115">
        <f>B52-B53</f>
        <v>360</v>
      </c>
      <c r="C54" s="196"/>
      <c r="D54" s="196"/>
      <c r="E54" s="115">
        <f>E52-E53</f>
        <v>108</v>
      </c>
      <c r="F54" s="115">
        <f>F52-F53</f>
        <v>52</v>
      </c>
      <c r="G54" s="196"/>
      <c r="H54" s="115">
        <f>H52-H53</f>
        <v>520</v>
      </c>
      <c r="I54" s="196"/>
      <c r="J54" s="197"/>
      <c r="K54" s="197"/>
      <c r="L54" s="197"/>
      <c r="M54" s="197"/>
      <c r="N54" s="197"/>
      <c r="O54" s="96"/>
      <c r="P54" s="197"/>
      <c r="Q54" s="197"/>
      <c r="R54" s="196"/>
      <c r="S54" s="196"/>
      <c r="T54" s="196"/>
      <c r="U54" s="196"/>
      <c r="V54" s="197"/>
      <c r="W54" s="197"/>
      <c r="X54" s="197"/>
      <c r="Y54" s="196"/>
      <c r="Z54" s="197"/>
      <c r="AA54" s="198"/>
    </row>
    <row r="55" spans="1:27" ht="15" customHeight="1">
      <c r="A55" s="195"/>
      <c r="B55" s="196"/>
      <c r="C55" s="196"/>
      <c r="D55" s="196"/>
      <c r="E55" s="196"/>
      <c r="F55" s="196"/>
      <c r="G55" s="196"/>
      <c r="H55" s="196"/>
      <c r="I55" s="196"/>
      <c r="J55" s="127">
        <f>ROUND(B54,0)</f>
        <v>360</v>
      </c>
      <c r="K55" s="197"/>
      <c r="L55" s="197"/>
      <c r="M55" s="115">
        <v>108</v>
      </c>
      <c r="N55" s="197">
        <v>52</v>
      </c>
      <c r="O55" s="96"/>
      <c r="P55" s="197">
        <v>520</v>
      </c>
      <c r="Q55" s="197"/>
      <c r="R55" s="196"/>
      <c r="S55" s="196"/>
      <c r="T55" s="196"/>
      <c r="U55" s="196"/>
      <c r="V55" s="197"/>
      <c r="W55" s="197"/>
      <c r="X55" s="197">
        <v>520</v>
      </c>
      <c r="Y55" s="196"/>
      <c r="Z55" s="197">
        <v>520</v>
      </c>
      <c r="AA55" s="198"/>
    </row>
    <row r="56" spans="1:27" ht="24.75" customHeight="1">
      <c r="A56" s="56"/>
      <c r="B56" s="672" t="s">
        <v>79</v>
      </c>
      <c r="C56" s="672"/>
      <c r="D56" s="672"/>
      <c r="E56" s="672"/>
      <c r="F56" s="672"/>
      <c r="G56" s="672"/>
      <c r="H56" s="672"/>
      <c r="I56" s="8"/>
      <c r="J56" s="55">
        <f>J11+J15+J19+J23+J27+J31+J35+J39+J43+J47+J51+J55</f>
        <v>2160</v>
      </c>
      <c r="K56" s="55"/>
      <c r="L56" s="55"/>
      <c r="M56" s="55">
        <f>M11+M15+M19+M23+M27+M31+M35+M39+M43+M47+M51+M55</f>
        <v>558</v>
      </c>
      <c r="N56" s="55">
        <f>N11+N15+N19+N23+N27+N31+N35+N39+N43+N47+N51+N55</f>
        <v>277</v>
      </c>
      <c r="O56" s="55"/>
      <c r="P56" s="55">
        <f>P11+P15+P19+P23+P27+P31+P35+P39+P43+P47+P51+P55</f>
        <v>2995</v>
      </c>
      <c r="Q56" s="55"/>
      <c r="R56" s="8"/>
      <c r="S56" s="8"/>
      <c r="T56" s="8"/>
      <c r="U56" s="55">
        <v>0</v>
      </c>
      <c r="V56" s="55"/>
      <c r="W56" s="55"/>
      <c r="X56" s="55">
        <f>X11+X15+X19+X23+X27+X31+X35+X39+X43+X47+X51+X55</f>
        <v>2995</v>
      </c>
      <c r="Y56" s="55"/>
      <c r="Z56" s="55">
        <f>Z11+Z15+Z19+Z23+Z27+Z31+Z35+Z39+Z43+Z47+Z51+Z55</f>
        <v>2995</v>
      </c>
      <c r="AA56" s="8"/>
    </row>
    <row r="57" spans="1:27" ht="11.25" customHeight="1">
      <c r="A57" s="4"/>
      <c r="B57" s="7"/>
      <c r="C57" s="7"/>
      <c r="D57" s="7"/>
      <c r="E57" s="7"/>
      <c r="F57" s="7"/>
      <c r="G57" s="97"/>
      <c r="H57" s="97"/>
      <c r="I57" s="7"/>
      <c r="J57" s="96"/>
      <c r="K57" s="96"/>
      <c r="L57" s="96"/>
      <c r="M57" s="96"/>
      <c r="N57" s="96"/>
      <c r="O57" s="96"/>
      <c r="P57" s="96"/>
      <c r="Q57" s="96"/>
      <c r="R57" s="7"/>
      <c r="S57" s="7"/>
      <c r="T57" s="7"/>
      <c r="U57" s="7"/>
      <c r="V57" s="7"/>
      <c r="W57" s="96"/>
      <c r="X57" s="96"/>
      <c r="Y57" s="96"/>
      <c r="Z57" s="96"/>
      <c r="AA57" s="7"/>
    </row>
    <row r="58" spans="1:27" ht="12.75">
      <c r="A58" s="4"/>
      <c r="B58" s="4"/>
      <c r="C58" s="4"/>
      <c r="D58" s="4"/>
      <c r="E58" s="686" t="s">
        <v>99</v>
      </c>
      <c r="F58" s="686"/>
      <c r="G58" s="687">
        <f>X56</f>
        <v>2995</v>
      </c>
      <c r="H58" s="687"/>
      <c r="I58" s="684" t="s">
        <v>243</v>
      </c>
      <c r="J58" s="684"/>
      <c r="K58" s="684"/>
      <c r="L58" s="684"/>
      <c r="M58" s="684"/>
      <c r="N58" s="684"/>
      <c r="O58" s="684"/>
      <c r="P58" s="684"/>
      <c r="Q58" s="684"/>
      <c r="R58" s="684"/>
      <c r="S58" s="684"/>
      <c r="T58" s="684"/>
      <c r="U58" s="684"/>
      <c r="V58" s="684"/>
      <c r="W58" s="684"/>
      <c r="X58" s="684"/>
      <c r="Y58" s="684"/>
      <c r="Z58" s="684"/>
      <c r="AA58" s="4"/>
    </row>
    <row r="59" spans="1:27" ht="66.75" customHeight="1">
      <c r="A59" s="4"/>
      <c r="B59" s="4"/>
      <c r="C59" s="4"/>
      <c r="D59" s="4"/>
      <c r="E59" s="4"/>
      <c r="F59" s="4"/>
      <c r="G59" s="4"/>
      <c r="H59" s="4"/>
      <c r="I59" s="4"/>
      <c r="J59" s="4"/>
      <c r="K59" s="4"/>
      <c r="L59" s="4"/>
      <c r="M59" s="4"/>
      <c r="N59" s="4"/>
      <c r="O59" s="4"/>
      <c r="P59" s="4"/>
      <c r="Q59" s="651" t="s">
        <v>226</v>
      </c>
      <c r="R59" s="651"/>
      <c r="S59" s="651"/>
      <c r="T59" s="651"/>
      <c r="U59" s="651"/>
      <c r="V59" s="651"/>
      <c r="W59" s="651"/>
      <c r="X59" s="651"/>
      <c r="Y59" s="651"/>
      <c r="Z59" s="651"/>
      <c r="AA59" s="4"/>
    </row>
  </sheetData>
  <sheetProtection/>
  <mergeCells count="45">
    <mergeCell ref="Q59:Z59"/>
    <mergeCell ref="I58:Z58"/>
    <mergeCell ref="B7:H7"/>
    <mergeCell ref="B11:H11"/>
    <mergeCell ref="B56:H56"/>
    <mergeCell ref="E58:F58"/>
    <mergeCell ref="B23:H23"/>
    <mergeCell ref="G58:H58"/>
    <mergeCell ref="B43:H43"/>
    <mergeCell ref="B39:H39"/>
    <mergeCell ref="B47:H47"/>
    <mergeCell ref="B51:H51"/>
    <mergeCell ref="B19:H19"/>
    <mergeCell ref="Q6:R6"/>
    <mergeCell ref="O3:O5"/>
    <mergeCell ref="B31:H31"/>
    <mergeCell ref="B6:H6"/>
    <mergeCell ref="J7:Z9"/>
    <mergeCell ref="X3:X5"/>
    <mergeCell ref="W4:W5"/>
    <mergeCell ref="A3:A4"/>
    <mergeCell ref="U4:U5"/>
    <mergeCell ref="B35:H35"/>
    <mergeCell ref="B3:H4"/>
    <mergeCell ref="M3:M5"/>
    <mergeCell ref="T4:T5"/>
    <mergeCell ref="P3:P5"/>
    <mergeCell ref="B27:H27"/>
    <mergeCell ref="K3:K5"/>
    <mergeCell ref="A1:AA1"/>
    <mergeCell ref="A2:Z2"/>
    <mergeCell ref="I3:I5"/>
    <mergeCell ref="J3:J5"/>
    <mergeCell ref="S4:S5"/>
    <mergeCell ref="B15:H15"/>
    <mergeCell ref="Q4:Q5"/>
    <mergeCell ref="K6:L6"/>
    <mergeCell ref="L3:L5"/>
    <mergeCell ref="AA3:AA5"/>
    <mergeCell ref="Z3:Z5"/>
    <mergeCell ref="Y3:Y5"/>
    <mergeCell ref="Q3:W3"/>
    <mergeCell ref="N3:N5"/>
    <mergeCell ref="R4:R5"/>
    <mergeCell ref="V4:V5"/>
  </mergeCells>
  <printOptions horizontalCentered="1" verticalCentered="1"/>
  <pageMargins left="0.25" right="0.25" top="0.5" bottom="0.5" header="0.5" footer="0.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6"/>
  <dimension ref="A1:R63"/>
  <sheetViews>
    <sheetView zoomScale="106" zoomScaleNormal="106" zoomScalePageLayoutView="0" workbookViewId="0" topLeftCell="A1">
      <selection activeCell="D16" sqref="D16"/>
    </sheetView>
  </sheetViews>
  <sheetFormatPr defaultColWidth="9.140625" defaultRowHeight="12.75"/>
  <cols>
    <col min="1" max="1" width="11.140625" style="148" bestFit="1" customWidth="1"/>
    <col min="2" max="2" width="11.421875" style="185" customWidth="1"/>
    <col min="3" max="3" width="5.140625" style="0" customWidth="1"/>
    <col min="4" max="4" width="7.140625" style="0" customWidth="1"/>
    <col min="5" max="5" width="6.8515625" style="0" customWidth="1"/>
    <col min="6" max="6" width="7.8515625" style="0" customWidth="1"/>
    <col min="7" max="7" width="5.7109375" style="0" customWidth="1"/>
    <col min="8" max="8" width="6.8515625" style="0" customWidth="1"/>
    <col min="9" max="9" width="8.00390625" style="185" customWidth="1"/>
    <col min="10" max="12" width="5.7109375" style="0" customWidth="1"/>
    <col min="13" max="13" width="9.8515625" style="203" customWidth="1"/>
    <col min="14" max="14" width="6.421875" style="0" customWidth="1"/>
    <col min="15" max="16" width="5.7109375" style="0" customWidth="1"/>
    <col min="17" max="17" width="5.57421875" style="0" customWidth="1"/>
    <col min="18" max="18" width="9.00390625" style="0" customWidth="1"/>
  </cols>
  <sheetData>
    <row r="1" spans="1:18" s="180" customFormat="1" ht="93.75" customHeight="1">
      <c r="A1" s="715" t="str">
        <f>CONCATENATE("                Claim for Preponement Pay Fixation Arrears in the Revised Pay Scales of 2010 in r/o  Sri/Smt.",SH!E2," Secondary Grade Teacher,O/o Mandal Educational Officer,",SH!E6,"")</f>
        <v>                Claim for Preponement Pay Fixation Arrears in the Revised Pay Scales of 2010 in r/o  Sri/Smt.K.SRINIVASARAO Secondary Grade Teacher,O/o Mandal Educational Officer,PEDAPADU</v>
      </c>
      <c r="B1" s="716"/>
      <c r="C1" s="716"/>
      <c r="D1" s="716"/>
      <c r="E1" s="716"/>
      <c r="F1" s="716"/>
      <c r="G1" s="716"/>
      <c r="H1" s="716"/>
      <c r="I1" s="716"/>
      <c r="J1" s="716"/>
      <c r="K1" s="716"/>
      <c r="L1" s="716"/>
      <c r="M1" s="716"/>
      <c r="N1" s="716"/>
      <c r="O1" s="716"/>
      <c r="P1" s="716"/>
      <c r="Q1" s="716"/>
      <c r="R1" s="717"/>
    </row>
    <row r="2" spans="1:18" ht="30.75" customHeight="1">
      <c r="A2" s="709" t="s">
        <v>139</v>
      </c>
      <c r="B2" s="695"/>
      <c r="C2" s="695" t="s">
        <v>140</v>
      </c>
      <c r="D2" s="695" t="s">
        <v>141</v>
      </c>
      <c r="E2" s="695"/>
      <c r="F2" s="695"/>
      <c r="G2" s="695"/>
      <c r="H2" s="695"/>
      <c r="I2" s="695" t="s">
        <v>150</v>
      </c>
      <c r="J2" s="695"/>
      <c r="K2" s="695"/>
      <c r="L2" s="695"/>
      <c r="M2" s="695"/>
      <c r="N2" s="695" t="s">
        <v>142</v>
      </c>
      <c r="O2" s="695"/>
      <c r="P2" s="695"/>
      <c r="Q2" s="695"/>
      <c r="R2" s="696"/>
    </row>
    <row r="3" spans="1:18" ht="25.5">
      <c r="A3" s="186" t="s">
        <v>143</v>
      </c>
      <c r="B3" s="149" t="s">
        <v>0</v>
      </c>
      <c r="C3" s="710"/>
      <c r="D3" s="149" t="s">
        <v>151</v>
      </c>
      <c r="E3" s="149" t="s">
        <v>152</v>
      </c>
      <c r="F3" s="149" t="s">
        <v>144</v>
      </c>
      <c r="G3" s="149" t="s">
        <v>145</v>
      </c>
      <c r="H3" s="149" t="s">
        <v>153</v>
      </c>
      <c r="I3" s="149" t="s">
        <v>151</v>
      </c>
      <c r="J3" s="149" t="s">
        <v>152</v>
      </c>
      <c r="K3" s="149" t="s">
        <v>144</v>
      </c>
      <c r="L3" s="149" t="s">
        <v>145</v>
      </c>
      <c r="M3" s="200" t="s">
        <v>153</v>
      </c>
      <c r="N3" s="149" t="s">
        <v>151</v>
      </c>
      <c r="O3" s="149" t="s">
        <v>152</v>
      </c>
      <c r="P3" s="149" t="s">
        <v>144</v>
      </c>
      <c r="Q3" s="547" t="s">
        <v>61</v>
      </c>
      <c r="R3" s="187" t="s">
        <v>153</v>
      </c>
    </row>
    <row r="4" spans="1:18" ht="12.75" customHeight="1">
      <c r="A4" s="364">
        <v>39454</v>
      </c>
      <c r="B4" s="358" t="s">
        <v>154</v>
      </c>
      <c r="C4" s="152">
        <v>31</v>
      </c>
      <c r="D4" s="152">
        <v>11530</v>
      </c>
      <c r="E4" s="155">
        <f aca="true" t="shared" si="0" ref="E4:E9">ROUND(D4*0%,0)</f>
        <v>0</v>
      </c>
      <c r="F4" s="155">
        <f>ROUND(D4*10%,0)</f>
        <v>1153</v>
      </c>
      <c r="G4" s="155">
        <v>100</v>
      </c>
      <c r="H4" s="156">
        <f>(D4+E4+F4)-G4</f>
        <v>12583</v>
      </c>
      <c r="I4" s="181">
        <v>11530</v>
      </c>
      <c r="J4" s="155">
        <f aca="true" t="shared" si="1" ref="J4:J9">ROUND(I4*0%,0)</f>
        <v>0</v>
      </c>
      <c r="K4" s="155">
        <f>ROUND(I4*10%,0)</f>
        <v>1153</v>
      </c>
      <c r="L4" s="155">
        <v>100</v>
      </c>
      <c r="M4" s="201">
        <f>(I4+J4+K4)-L4</f>
        <v>12583</v>
      </c>
      <c r="N4" s="158">
        <f>D4-I4</f>
        <v>0</v>
      </c>
      <c r="O4" s="158">
        <f>E4-J4</f>
        <v>0</v>
      </c>
      <c r="P4" s="156">
        <f>F4-K4</f>
        <v>0</v>
      </c>
      <c r="Q4" s="156">
        <f>G4-L4</f>
        <v>0</v>
      </c>
      <c r="R4" s="188">
        <f>((N4+O4+P4)-Q4)</f>
        <v>0</v>
      </c>
    </row>
    <row r="5" spans="1:18" ht="12.75" customHeight="1">
      <c r="A5" s="365">
        <v>39455</v>
      </c>
      <c r="B5" s="181" t="s">
        <v>155</v>
      </c>
      <c r="C5" s="153">
        <v>31</v>
      </c>
      <c r="D5" s="153">
        <v>11860</v>
      </c>
      <c r="E5" s="155">
        <f t="shared" si="0"/>
        <v>0</v>
      </c>
      <c r="F5" s="155">
        <f aca="true" t="shared" si="2" ref="F5:F17">ROUND(D5*10%,0)</f>
        <v>1186</v>
      </c>
      <c r="G5" s="155">
        <v>100</v>
      </c>
      <c r="H5" s="156">
        <f aca="true" t="shared" si="3" ref="H5:H24">(D5+E5+F5)-G5</f>
        <v>12946</v>
      </c>
      <c r="I5" s="181">
        <f>I4</f>
        <v>11530</v>
      </c>
      <c r="J5" s="155">
        <f t="shared" si="1"/>
        <v>0</v>
      </c>
      <c r="K5" s="157">
        <f aca="true" t="shared" si="4" ref="K5:K17">ROUND(I5*10%,0)</f>
        <v>1153</v>
      </c>
      <c r="L5" s="155">
        <v>100</v>
      </c>
      <c r="M5" s="201">
        <f aca="true" t="shared" si="5" ref="M5:M24">(I5+J5+K5)-L5</f>
        <v>12583</v>
      </c>
      <c r="N5" s="158">
        <f>D5-I5</f>
        <v>330</v>
      </c>
      <c r="O5" s="158">
        <f>E5-J5</f>
        <v>0</v>
      </c>
      <c r="P5" s="156">
        <f aca="true" t="shared" si="6" ref="P5:P24">F5-K5</f>
        <v>33</v>
      </c>
      <c r="Q5" s="156">
        <f aca="true" t="shared" si="7" ref="Q5:Q24">G5-L5</f>
        <v>0</v>
      </c>
      <c r="R5" s="188">
        <f aca="true" t="shared" si="8" ref="R5:R24">((N5+O5+P5)-Q5)</f>
        <v>363</v>
      </c>
    </row>
    <row r="6" spans="1:18" ht="12.75" customHeight="1">
      <c r="A6" s="365">
        <v>39456</v>
      </c>
      <c r="B6" s="181" t="s">
        <v>156</v>
      </c>
      <c r="C6" s="153">
        <v>30</v>
      </c>
      <c r="D6" s="153">
        <f aca="true" t="shared" si="9" ref="D6:D20">D5</f>
        <v>11860</v>
      </c>
      <c r="E6" s="155">
        <f t="shared" si="0"/>
        <v>0</v>
      </c>
      <c r="F6" s="155">
        <f t="shared" si="2"/>
        <v>1186</v>
      </c>
      <c r="G6" s="155">
        <v>100</v>
      </c>
      <c r="H6" s="156">
        <f t="shared" si="3"/>
        <v>12946</v>
      </c>
      <c r="I6" s="181">
        <f aca="true" t="shared" si="10" ref="I6:I22">I5</f>
        <v>11530</v>
      </c>
      <c r="J6" s="155">
        <f t="shared" si="1"/>
        <v>0</v>
      </c>
      <c r="K6" s="157">
        <f t="shared" si="4"/>
        <v>1153</v>
      </c>
      <c r="L6" s="155">
        <v>100</v>
      </c>
      <c r="M6" s="201">
        <f t="shared" si="5"/>
        <v>12583</v>
      </c>
      <c r="N6" s="158">
        <f aca="true" t="shared" si="11" ref="N6:N24">D6-I6</f>
        <v>330</v>
      </c>
      <c r="O6" s="158">
        <f aca="true" t="shared" si="12" ref="O6:O24">E6-J6</f>
        <v>0</v>
      </c>
      <c r="P6" s="156">
        <f t="shared" si="6"/>
        <v>33</v>
      </c>
      <c r="Q6" s="156">
        <f t="shared" si="7"/>
        <v>0</v>
      </c>
      <c r="R6" s="188">
        <f t="shared" si="8"/>
        <v>363</v>
      </c>
    </row>
    <row r="7" spans="1:18" ht="12.75" customHeight="1">
      <c r="A7" s="365">
        <v>39457</v>
      </c>
      <c r="B7" s="181" t="s">
        <v>157</v>
      </c>
      <c r="C7" s="153">
        <v>31</v>
      </c>
      <c r="D7" s="153">
        <f t="shared" si="9"/>
        <v>11860</v>
      </c>
      <c r="E7" s="155">
        <f t="shared" si="0"/>
        <v>0</v>
      </c>
      <c r="F7" s="155">
        <f t="shared" si="2"/>
        <v>1186</v>
      </c>
      <c r="G7" s="155">
        <v>100</v>
      </c>
      <c r="H7" s="156">
        <f t="shared" si="3"/>
        <v>12946</v>
      </c>
      <c r="I7" s="181">
        <f t="shared" si="10"/>
        <v>11530</v>
      </c>
      <c r="J7" s="155">
        <f t="shared" si="1"/>
        <v>0</v>
      </c>
      <c r="K7" s="157">
        <f t="shared" si="4"/>
        <v>1153</v>
      </c>
      <c r="L7" s="155">
        <v>100</v>
      </c>
      <c r="M7" s="201">
        <f t="shared" si="5"/>
        <v>12583</v>
      </c>
      <c r="N7" s="158">
        <f t="shared" si="11"/>
        <v>330</v>
      </c>
      <c r="O7" s="158">
        <f t="shared" si="12"/>
        <v>0</v>
      </c>
      <c r="P7" s="156">
        <f t="shared" si="6"/>
        <v>33</v>
      </c>
      <c r="Q7" s="156">
        <f t="shared" si="7"/>
        <v>0</v>
      </c>
      <c r="R7" s="188">
        <f t="shared" si="8"/>
        <v>363</v>
      </c>
    </row>
    <row r="8" spans="1:18" ht="12.75" customHeight="1">
      <c r="A8" s="365">
        <v>39458</v>
      </c>
      <c r="B8" s="181" t="s">
        <v>158</v>
      </c>
      <c r="C8" s="153">
        <v>30</v>
      </c>
      <c r="D8" s="153">
        <f t="shared" si="9"/>
        <v>11860</v>
      </c>
      <c r="E8" s="155">
        <f t="shared" si="0"/>
        <v>0</v>
      </c>
      <c r="F8" s="155">
        <f t="shared" si="2"/>
        <v>1186</v>
      </c>
      <c r="G8" s="155">
        <v>100</v>
      </c>
      <c r="H8" s="156">
        <f t="shared" si="3"/>
        <v>12946</v>
      </c>
      <c r="I8" s="181">
        <f t="shared" si="10"/>
        <v>11530</v>
      </c>
      <c r="J8" s="155">
        <f t="shared" si="1"/>
        <v>0</v>
      </c>
      <c r="K8" s="157">
        <f t="shared" si="4"/>
        <v>1153</v>
      </c>
      <c r="L8" s="155">
        <v>100</v>
      </c>
      <c r="M8" s="201">
        <f t="shared" si="5"/>
        <v>12583</v>
      </c>
      <c r="N8" s="158">
        <f t="shared" si="11"/>
        <v>330</v>
      </c>
      <c r="O8" s="158">
        <f t="shared" si="12"/>
        <v>0</v>
      </c>
      <c r="P8" s="156">
        <f t="shared" si="6"/>
        <v>33</v>
      </c>
      <c r="Q8" s="156">
        <f t="shared" si="7"/>
        <v>0</v>
      </c>
      <c r="R8" s="188">
        <f t="shared" si="8"/>
        <v>363</v>
      </c>
    </row>
    <row r="9" spans="1:18" ht="12.75" customHeight="1">
      <c r="A9" s="365">
        <v>39459</v>
      </c>
      <c r="B9" s="181" t="s">
        <v>159</v>
      </c>
      <c r="C9" s="153">
        <v>31</v>
      </c>
      <c r="D9" s="153">
        <f t="shared" si="9"/>
        <v>11860</v>
      </c>
      <c r="E9" s="155">
        <f t="shared" si="0"/>
        <v>0</v>
      </c>
      <c r="F9" s="155">
        <f t="shared" si="2"/>
        <v>1186</v>
      </c>
      <c r="G9" s="155">
        <v>100</v>
      </c>
      <c r="H9" s="156">
        <f t="shared" si="3"/>
        <v>12946</v>
      </c>
      <c r="I9" s="181">
        <f t="shared" si="10"/>
        <v>11530</v>
      </c>
      <c r="J9" s="155">
        <f t="shared" si="1"/>
        <v>0</v>
      </c>
      <c r="K9" s="157">
        <f t="shared" si="4"/>
        <v>1153</v>
      </c>
      <c r="L9" s="155">
        <v>100</v>
      </c>
      <c r="M9" s="201">
        <f t="shared" si="5"/>
        <v>12583</v>
      </c>
      <c r="N9" s="158">
        <f t="shared" si="11"/>
        <v>330</v>
      </c>
      <c r="O9" s="158">
        <f t="shared" si="12"/>
        <v>0</v>
      </c>
      <c r="P9" s="156">
        <f t="shared" si="6"/>
        <v>33</v>
      </c>
      <c r="Q9" s="156">
        <f t="shared" si="7"/>
        <v>0</v>
      </c>
      <c r="R9" s="188">
        <f t="shared" si="8"/>
        <v>363</v>
      </c>
    </row>
    <row r="10" spans="1:18" ht="12.75" customHeight="1">
      <c r="A10" s="365">
        <v>39814</v>
      </c>
      <c r="B10" s="181" t="s">
        <v>160</v>
      </c>
      <c r="C10" s="153">
        <v>31</v>
      </c>
      <c r="D10" s="153">
        <f t="shared" si="9"/>
        <v>11860</v>
      </c>
      <c r="E10" s="155">
        <f aca="true" t="shared" si="13" ref="E10:E15">ROUND(D10*5.136%,0)</f>
        <v>609</v>
      </c>
      <c r="F10" s="155">
        <f t="shared" si="2"/>
        <v>1186</v>
      </c>
      <c r="G10" s="155">
        <v>100</v>
      </c>
      <c r="H10" s="156">
        <f t="shared" si="3"/>
        <v>13555</v>
      </c>
      <c r="I10" s="182">
        <v>11860</v>
      </c>
      <c r="J10" s="155">
        <f aca="true" t="shared" si="14" ref="J10:J15">ROUND(I10*5.136%,0)</f>
        <v>609</v>
      </c>
      <c r="K10" s="157">
        <f t="shared" si="4"/>
        <v>1186</v>
      </c>
      <c r="L10" s="155">
        <v>100</v>
      </c>
      <c r="M10" s="201">
        <f t="shared" si="5"/>
        <v>13555</v>
      </c>
      <c r="N10" s="158">
        <f t="shared" si="11"/>
        <v>0</v>
      </c>
      <c r="O10" s="158">
        <f t="shared" si="12"/>
        <v>0</v>
      </c>
      <c r="P10" s="156">
        <f t="shared" si="6"/>
        <v>0</v>
      </c>
      <c r="Q10" s="156">
        <f t="shared" si="7"/>
        <v>0</v>
      </c>
      <c r="R10" s="188">
        <f t="shared" si="8"/>
        <v>0</v>
      </c>
    </row>
    <row r="11" spans="1:18" ht="12.75" customHeight="1">
      <c r="A11" s="365">
        <v>39815</v>
      </c>
      <c r="B11" s="181" t="s">
        <v>161</v>
      </c>
      <c r="C11" s="153">
        <v>28</v>
      </c>
      <c r="D11" s="153">
        <f t="shared" si="9"/>
        <v>11860</v>
      </c>
      <c r="E11" s="155">
        <f t="shared" si="13"/>
        <v>609</v>
      </c>
      <c r="F11" s="155">
        <f t="shared" si="2"/>
        <v>1186</v>
      </c>
      <c r="G11" s="155">
        <v>100</v>
      </c>
      <c r="H11" s="156">
        <f t="shared" si="3"/>
        <v>13555</v>
      </c>
      <c r="I11" s="181">
        <f t="shared" si="10"/>
        <v>11860</v>
      </c>
      <c r="J11" s="155">
        <f t="shared" si="14"/>
        <v>609</v>
      </c>
      <c r="K11" s="157">
        <f t="shared" si="4"/>
        <v>1186</v>
      </c>
      <c r="L11" s="155">
        <v>100</v>
      </c>
      <c r="M11" s="201">
        <f t="shared" si="5"/>
        <v>13555</v>
      </c>
      <c r="N11" s="158">
        <f t="shared" si="11"/>
        <v>0</v>
      </c>
      <c r="O11" s="158">
        <f t="shared" si="12"/>
        <v>0</v>
      </c>
      <c r="P11" s="156">
        <f t="shared" si="6"/>
        <v>0</v>
      </c>
      <c r="Q11" s="156">
        <f t="shared" si="7"/>
        <v>0</v>
      </c>
      <c r="R11" s="188">
        <f t="shared" si="8"/>
        <v>0</v>
      </c>
    </row>
    <row r="12" spans="1:18" ht="12.75" customHeight="1">
      <c r="A12" s="365">
        <v>39816</v>
      </c>
      <c r="B12" s="181" t="s">
        <v>162</v>
      </c>
      <c r="C12" s="153">
        <v>31</v>
      </c>
      <c r="D12" s="153">
        <f t="shared" si="9"/>
        <v>11860</v>
      </c>
      <c r="E12" s="155">
        <f t="shared" si="13"/>
        <v>609</v>
      </c>
      <c r="F12" s="155">
        <f t="shared" si="2"/>
        <v>1186</v>
      </c>
      <c r="G12" s="155">
        <v>100</v>
      </c>
      <c r="H12" s="156">
        <f t="shared" si="3"/>
        <v>13555</v>
      </c>
      <c r="I12" s="181">
        <f t="shared" si="10"/>
        <v>11860</v>
      </c>
      <c r="J12" s="155">
        <f t="shared" si="14"/>
        <v>609</v>
      </c>
      <c r="K12" s="157">
        <f t="shared" si="4"/>
        <v>1186</v>
      </c>
      <c r="L12" s="155">
        <v>100</v>
      </c>
      <c r="M12" s="201">
        <f t="shared" si="5"/>
        <v>13555</v>
      </c>
      <c r="N12" s="158">
        <f t="shared" si="11"/>
        <v>0</v>
      </c>
      <c r="O12" s="158">
        <f t="shared" si="12"/>
        <v>0</v>
      </c>
      <c r="P12" s="156">
        <f t="shared" si="6"/>
        <v>0</v>
      </c>
      <c r="Q12" s="156">
        <f t="shared" si="7"/>
        <v>0</v>
      </c>
      <c r="R12" s="188">
        <f t="shared" si="8"/>
        <v>0</v>
      </c>
    </row>
    <row r="13" spans="1:18" ht="12.75" customHeight="1">
      <c r="A13" s="365">
        <v>39817</v>
      </c>
      <c r="B13" s="181" t="s">
        <v>163</v>
      </c>
      <c r="C13" s="153">
        <v>30</v>
      </c>
      <c r="D13" s="153">
        <f t="shared" si="9"/>
        <v>11860</v>
      </c>
      <c r="E13" s="155">
        <f t="shared" si="13"/>
        <v>609</v>
      </c>
      <c r="F13" s="155">
        <f t="shared" si="2"/>
        <v>1186</v>
      </c>
      <c r="G13" s="155">
        <v>100</v>
      </c>
      <c r="H13" s="156">
        <f t="shared" si="3"/>
        <v>13555</v>
      </c>
      <c r="I13" s="181">
        <f t="shared" si="10"/>
        <v>11860</v>
      </c>
      <c r="J13" s="155">
        <f t="shared" si="14"/>
        <v>609</v>
      </c>
      <c r="K13" s="157">
        <f t="shared" si="4"/>
        <v>1186</v>
      </c>
      <c r="L13" s="155">
        <v>100</v>
      </c>
      <c r="M13" s="201">
        <f t="shared" si="5"/>
        <v>13555</v>
      </c>
      <c r="N13" s="158">
        <f t="shared" si="11"/>
        <v>0</v>
      </c>
      <c r="O13" s="158">
        <f t="shared" si="12"/>
        <v>0</v>
      </c>
      <c r="P13" s="156">
        <f t="shared" si="6"/>
        <v>0</v>
      </c>
      <c r="Q13" s="156">
        <f t="shared" si="7"/>
        <v>0</v>
      </c>
      <c r="R13" s="188">
        <f t="shared" si="8"/>
        <v>0</v>
      </c>
    </row>
    <row r="14" spans="1:18" ht="12.75" customHeight="1">
      <c r="A14" s="365">
        <v>39818</v>
      </c>
      <c r="B14" s="181" t="s">
        <v>164</v>
      </c>
      <c r="C14" s="153">
        <v>31</v>
      </c>
      <c r="D14" s="153">
        <f t="shared" si="9"/>
        <v>11860</v>
      </c>
      <c r="E14" s="155">
        <f t="shared" si="13"/>
        <v>609</v>
      </c>
      <c r="F14" s="155">
        <f t="shared" si="2"/>
        <v>1186</v>
      </c>
      <c r="G14" s="155">
        <v>100</v>
      </c>
      <c r="H14" s="156">
        <f t="shared" si="3"/>
        <v>13555</v>
      </c>
      <c r="I14" s="181">
        <f t="shared" si="10"/>
        <v>11860</v>
      </c>
      <c r="J14" s="155">
        <f t="shared" si="14"/>
        <v>609</v>
      </c>
      <c r="K14" s="157">
        <f t="shared" si="4"/>
        <v>1186</v>
      </c>
      <c r="L14" s="155">
        <v>100</v>
      </c>
      <c r="M14" s="201">
        <f t="shared" si="5"/>
        <v>13555</v>
      </c>
      <c r="N14" s="158">
        <f t="shared" si="11"/>
        <v>0</v>
      </c>
      <c r="O14" s="158">
        <f t="shared" si="12"/>
        <v>0</v>
      </c>
      <c r="P14" s="156">
        <f t="shared" si="6"/>
        <v>0</v>
      </c>
      <c r="Q14" s="156">
        <f t="shared" si="7"/>
        <v>0</v>
      </c>
      <c r="R14" s="188">
        <f t="shared" si="8"/>
        <v>0</v>
      </c>
    </row>
    <row r="15" spans="1:18" ht="12.75" customHeight="1">
      <c r="A15" s="365">
        <v>39819</v>
      </c>
      <c r="B15" s="181" t="s">
        <v>165</v>
      </c>
      <c r="C15" s="153">
        <v>30</v>
      </c>
      <c r="D15" s="153">
        <f t="shared" si="9"/>
        <v>11860</v>
      </c>
      <c r="E15" s="155">
        <f t="shared" si="13"/>
        <v>609</v>
      </c>
      <c r="F15" s="155">
        <f t="shared" si="2"/>
        <v>1186</v>
      </c>
      <c r="G15" s="155">
        <v>100</v>
      </c>
      <c r="H15" s="156">
        <f t="shared" si="3"/>
        <v>13555</v>
      </c>
      <c r="I15" s="181">
        <f t="shared" si="10"/>
        <v>11860</v>
      </c>
      <c r="J15" s="155">
        <f t="shared" si="14"/>
        <v>609</v>
      </c>
      <c r="K15" s="157">
        <f t="shared" si="4"/>
        <v>1186</v>
      </c>
      <c r="L15" s="155">
        <v>100</v>
      </c>
      <c r="M15" s="201">
        <f t="shared" si="5"/>
        <v>13555</v>
      </c>
      <c r="N15" s="158">
        <f t="shared" si="11"/>
        <v>0</v>
      </c>
      <c r="O15" s="158">
        <f t="shared" si="12"/>
        <v>0</v>
      </c>
      <c r="P15" s="156">
        <f t="shared" si="6"/>
        <v>0</v>
      </c>
      <c r="Q15" s="156">
        <f t="shared" si="7"/>
        <v>0</v>
      </c>
      <c r="R15" s="188">
        <f t="shared" si="8"/>
        <v>0</v>
      </c>
    </row>
    <row r="16" spans="1:18" ht="12.75" customHeight="1">
      <c r="A16" s="365">
        <v>39820</v>
      </c>
      <c r="B16" s="181" t="s">
        <v>166</v>
      </c>
      <c r="C16" s="153">
        <v>31</v>
      </c>
      <c r="D16" s="166">
        <v>11860</v>
      </c>
      <c r="E16" s="155">
        <f aca="true" t="shared" si="15" ref="E16:E22">ROUND(D16*9.416%,0)</f>
        <v>1117</v>
      </c>
      <c r="F16" s="155">
        <f t="shared" si="2"/>
        <v>1186</v>
      </c>
      <c r="G16" s="155">
        <v>100</v>
      </c>
      <c r="H16" s="156">
        <f t="shared" si="3"/>
        <v>14063</v>
      </c>
      <c r="I16" s="181">
        <f t="shared" si="10"/>
        <v>11860</v>
      </c>
      <c r="J16" s="155">
        <f aca="true" t="shared" si="16" ref="J16:J22">ROUND(I16*9.416%,0)</f>
        <v>1117</v>
      </c>
      <c r="K16" s="157">
        <f t="shared" si="4"/>
        <v>1186</v>
      </c>
      <c r="L16" s="155">
        <v>100</v>
      </c>
      <c r="M16" s="201">
        <f t="shared" si="5"/>
        <v>14063</v>
      </c>
      <c r="N16" s="158">
        <f t="shared" si="11"/>
        <v>0</v>
      </c>
      <c r="O16" s="158">
        <f t="shared" si="12"/>
        <v>0</v>
      </c>
      <c r="P16" s="156">
        <f t="shared" si="6"/>
        <v>0</v>
      </c>
      <c r="Q16" s="156">
        <f t="shared" si="7"/>
        <v>0</v>
      </c>
      <c r="R16" s="188">
        <f t="shared" si="8"/>
        <v>0</v>
      </c>
    </row>
    <row r="17" spans="1:18" s="558" customFormat="1" ht="12.75" customHeight="1">
      <c r="A17" s="581">
        <v>39821</v>
      </c>
      <c r="B17" s="572">
        <f>SH!O79</f>
        <v>40045</v>
      </c>
      <c r="C17" s="154">
        <f>SH!P79</f>
        <v>20</v>
      </c>
      <c r="D17" s="583">
        <f>ROUND(12190/31*C17,0)</f>
        <v>7865</v>
      </c>
      <c r="E17" s="552">
        <f t="shared" si="15"/>
        <v>741</v>
      </c>
      <c r="F17" s="552">
        <f t="shared" si="2"/>
        <v>787</v>
      </c>
      <c r="G17" s="552">
        <v>100</v>
      </c>
      <c r="H17" s="156">
        <f t="shared" si="3"/>
        <v>9293</v>
      </c>
      <c r="I17" s="582">
        <v>7652</v>
      </c>
      <c r="J17" s="552">
        <f t="shared" si="16"/>
        <v>721</v>
      </c>
      <c r="K17" s="157">
        <f t="shared" si="4"/>
        <v>765</v>
      </c>
      <c r="L17" s="552">
        <v>100</v>
      </c>
      <c r="M17" s="201">
        <f t="shared" si="5"/>
        <v>9038</v>
      </c>
      <c r="N17" s="158">
        <f t="shared" si="11"/>
        <v>213</v>
      </c>
      <c r="O17" s="158">
        <f t="shared" si="12"/>
        <v>20</v>
      </c>
      <c r="P17" s="156">
        <f t="shared" si="6"/>
        <v>22</v>
      </c>
      <c r="Q17" s="156">
        <f t="shared" si="7"/>
        <v>0</v>
      </c>
      <c r="R17" s="188">
        <f t="shared" si="8"/>
        <v>255</v>
      </c>
    </row>
    <row r="18" spans="1:18" s="558" customFormat="1" ht="12.75" customHeight="1">
      <c r="A18" s="571">
        <f>SH!M79</f>
        <v>40046</v>
      </c>
      <c r="B18" s="582" t="s">
        <v>222</v>
      </c>
      <c r="C18" s="154">
        <f>31-C17</f>
        <v>11</v>
      </c>
      <c r="D18" s="583">
        <f>ROUND(12190/31*C18,0)</f>
        <v>4325</v>
      </c>
      <c r="E18" s="552">
        <f t="shared" si="15"/>
        <v>407</v>
      </c>
      <c r="F18" s="552">
        <f aca="true" t="shared" si="17" ref="F18:F24">ROUND(D18*12.5%,0)</f>
        <v>541</v>
      </c>
      <c r="G18" s="552">
        <v>0</v>
      </c>
      <c r="H18" s="156">
        <v>5273</v>
      </c>
      <c r="I18" s="582">
        <v>4208</v>
      </c>
      <c r="J18" s="552">
        <v>396</v>
      </c>
      <c r="K18" s="157">
        <f aca="true" t="shared" si="18" ref="K18:K24">ROUND(I18*12.5%,0)</f>
        <v>526</v>
      </c>
      <c r="L18" s="552">
        <v>0</v>
      </c>
      <c r="M18" s="201">
        <f t="shared" si="5"/>
        <v>5130</v>
      </c>
      <c r="N18" s="158">
        <f t="shared" si="11"/>
        <v>117</v>
      </c>
      <c r="O18" s="158">
        <f>E18-J18</f>
        <v>11</v>
      </c>
      <c r="P18" s="156">
        <f>F18-K18</f>
        <v>15</v>
      </c>
      <c r="Q18" s="156">
        <f t="shared" si="7"/>
        <v>0</v>
      </c>
      <c r="R18" s="188">
        <v>143</v>
      </c>
    </row>
    <row r="19" spans="1:18" ht="12.75" customHeight="1">
      <c r="A19" s="365">
        <v>39822</v>
      </c>
      <c r="B19" s="181" t="s">
        <v>167</v>
      </c>
      <c r="C19" s="153">
        <v>30</v>
      </c>
      <c r="D19" s="153">
        <v>12190</v>
      </c>
      <c r="E19" s="155">
        <f t="shared" si="15"/>
        <v>1148</v>
      </c>
      <c r="F19" s="155">
        <f t="shared" si="17"/>
        <v>1524</v>
      </c>
      <c r="G19" s="155">
        <v>100</v>
      </c>
      <c r="H19" s="156">
        <f t="shared" si="3"/>
        <v>14762</v>
      </c>
      <c r="I19" s="181">
        <v>11860</v>
      </c>
      <c r="J19" s="155">
        <f t="shared" si="16"/>
        <v>1117</v>
      </c>
      <c r="K19" s="157">
        <f t="shared" si="18"/>
        <v>1483</v>
      </c>
      <c r="L19" s="155">
        <v>100</v>
      </c>
      <c r="M19" s="201">
        <f t="shared" si="5"/>
        <v>14360</v>
      </c>
      <c r="N19" s="158">
        <f t="shared" si="11"/>
        <v>330</v>
      </c>
      <c r="O19" s="158">
        <f t="shared" si="12"/>
        <v>31</v>
      </c>
      <c r="P19" s="156">
        <f t="shared" si="6"/>
        <v>41</v>
      </c>
      <c r="Q19" s="156">
        <f t="shared" si="7"/>
        <v>0</v>
      </c>
      <c r="R19" s="188">
        <f t="shared" si="8"/>
        <v>402</v>
      </c>
    </row>
    <row r="20" spans="1:18" ht="12.75" customHeight="1">
      <c r="A20" s="366">
        <v>39823</v>
      </c>
      <c r="B20" s="183" t="s">
        <v>168</v>
      </c>
      <c r="C20" s="268">
        <v>31</v>
      </c>
      <c r="D20" s="268">
        <f t="shared" si="9"/>
        <v>12190</v>
      </c>
      <c r="E20" s="171">
        <f t="shared" si="15"/>
        <v>1148</v>
      </c>
      <c r="F20" s="171">
        <f t="shared" si="17"/>
        <v>1524</v>
      </c>
      <c r="G20" s="171">
        <v>100</v>
      </c>
      <c r="H20" s="172">
        <f t="shared" si="3"/>
        <v>14762</v>
      </c>
      <c r="I20" s="183">
        <f t="shared" si="10"/>
        <v>11860</v>
      </c>
      <c r="J20" s="171">
        <f t="shared" si="16"/>
        <v>1117</v>
      </c>
      <c r="K20" s="173">
        <f t="shared" si="18"/>
        <v>1483</v>
      </c>
      <c r="L20" s="171">
        <v>100</v>
      </c>
      <c r="M20" s="202">
        <f t="shared" si="5"/>
        <v>14360</v>
      </c>
      <c r="N20" s="174">
        <f t="shared" si="11"/>
        <v>330</v>
      </c>
      <c r="O20" s="174">
        <f t="shared" si="12"/>
        <v>31</v>
      </c>
      <c r="P20" s="172">
        <f t="shared" si="6"/>
        <v>41</v>
      </c>
      <c r="Q20" s="172">
        <f t="shared" si="7"/>
        <v>0</v>
      </c>
      <c r="R20" s="191">
        <f t="shared" si="8"/>
        <v>402</v>
      </c>
    </row>
    <row r="21" spans="1:18" ht="12.75" customHeight="1">
      <c r="A21" s="367">
        <v>39824</v>
      </c>
      <c r="B21" s="272" t="s">
        <v>169</v>
      </c>
      <c r="C21" s="269">
        <v>30</v>
      </c>
      <c r="D21" s="269">
        <f>D20</f>
        <v>12190</v>
      </c>
      <c r="E21" s="270">
        <f t="shared" si="15"/>
        <v>1148</v>
      </c>
      <c r="F21" s="270">
        <f t="shared" si="17"/>
        <v>1524</v>
      </c>
      <c r="G21" s="270">
        <v>100</v>
      </c>
      <c r="H21" s="271">
        <f t="shared" si="3"/>
        <v>14762</v>
      </c>
      <c r="I21" s="272">
        <f t="shared" si="10"/>
        <v>11860</v>
      </c>
      <c r="J21" s="270">
        <f t="shared" si="16"/>
        <v>1117</v>
      </c>
      <c r="K21" s="273">
        <f t="shared" si="18"/>
        <v>1483</v>
      </c>
      <c r="L21" s="270">
        <v>100</v>
      </c>
      <c r="M21" s="274">
        <f t="shared" si="5"/>
        <v>14360</v>
      </c>
      <c r="N21" s="275">
        <f t="shared" si="11"/>
        <v>330</v>
      </c>
      <c r="O21" s="275">
        <f t="shared" si="12"/>
        <v>31</v>
      </c>
      <c r="P21" s="271">
        <f t="shared" si="6"/>
        <v>41</v>
      </c>
      <c r="Q21" s="271">
        <f t="shared" si="7"/>
        <v>0</v>
      </c>
      <c r="R21" s="276">
        <f t="shared" si="8"/>
        <v>402</v>
      </c>
    </row>
    <row r="22" spans="1:18" ht="12.75" customHeight="1">
      <c r="A22" s="365">
        <v>39825</v>
      </c>
      <c r="B22" s="181" t="s">
        <v>170</v>
      </c>
      <c r="C22" s="153">
        <v>31</v>
      </c>
      <c r="D22" s="153">
        <f>D21</f>
        <v>12190</v>
      </c>
      <c r="E22" s="155">
        <f t="shared" si="15"/>
        <v>1148</v>
      </c>
      <c r="F22" s="155">
        <f t="shared" si="17"/>
        <v>1524</v>
      </c>
      <c r="G22" s="155">
        <v>100</v>
      </c>
      <c r="H22" s="156">
        <f t="shared" si="3"/>
        <v>14762</v>
      </c>
      <c r="I22" s="181">
        <f t="shared" si="10"/>
        <v>11860</v>
      </c>
      <c r="J22" s="155">
        <f t="shared" si="16"/>
        <v>1117</v>
      </c>
      <c r="K22" s="157">
        <f t="shared" si="18"/>
        <v>1483</v>
      </c>
      <c r="L22" s="155">
        <v>100</v>
      </c>
      <c r="M22" s="201">
        <f t="shared" si="5"/>
        <v>14360</v>
      </c>
      <c r="N22" s="158">
        <f t="shared" si="11"/>
        <v>330</v>
      </c>
      <c r="O22" s="158">
        <f t="shared" si="12"/>
        <v>31</v>
      </c>
      <c r="P22" s="156">
        <f t="shared" si="6"/>
        <v>41</v>
      </c>
      <c r="Q22" s="156">
        <f t="shared" si="7"/>
        <v>0</v>
      </c>
      <c r="R22" s="188">
        <f t="shared" si="8"/>
        <v>402</v>
      </c>
    </row>
    <row r="23" spans="1:18" ht="12.75" customHeight="1">
      <c r="A23" s="368">
        <v>40179</v>
      </c>
      <c r="B23" s="572">
        <f>SH!P75</f>
        <v>40205</v>
      </c>
      <c r="C23" s="154">
        <f>SH!N75</f>
        <v>27</v>
      </c>
      <c r="D23" s="153">
        <f>ROUND(12190/31*C23,0)</f>
        <v>10617</v>
      </c>
      <c r="E23" s="155">
        <f>ROUND(D23*16.264%,0)</f>
        <v>1727</v>
      </c>
      <c r="F23" s="155">
        <f t="shared" si="17"/>
        <v>1327</v>
      </c>
      <c r="G23" s="155">
        <v>150</v>
      </c>
      <c r="H23" s="156">
        <f t="shared" si="3"/>
        <v>13521</v>
      </c>
      <c r="I23" s="182">
        <f>ROUND(12190/31*C23,0)</f>
        <v>10617</v>
      </c>
      <c r="J23" s="155">
        <f>ROUND(I23*16.264%,0)</f>
        <v>1727</v>
      </c>
      <c r="K23" s="157">
        <f t="shared" si="18"/>
        <v>1327</v>
      </c>
      <c r="L23" s="155">
        <v>150</v>
      </c>
      <c r="M23" s="201">
        <f t="shared" si="5"/>
        <v>13521</v>
      </c>
      <c r="N23" s="158">
        <f t="shared" si="11"/>
        <v>0</v>
      </c>
      <c r="O23" s="158">
        <f t="shared" si="12"/>
        <v>0</v>
      </c>
      <c r="P23" s="156">
        <f t="shared" si="6"/>
        <v>0</v>
      </c>
      <c r="Q23" s="156">
        <f t="shared" si="7"/>
        <v>0</v>
      </c>
      <c r="R23" s="188">
        <f t="shared" si="8"/>
        <v>0</v>
      </c>
    </row>
    <row r="24" spans="1:18" ht="12.75" customHeight="1">
      <c r="A24" s="571">
        <f>SH!M75</f>
        <v>40206</v>
      </c>
      <c r="B24" s="359" t="s">
        <v>171</v>
      </c>
      <c r="C24" s="154">
        <f>31-C23</f>
        <v>4</v>
      </c>
      <c r="D24" s="162">
        <f>ROUND(12550/31*C24,0)</f>
        <v>1619</v>
      </c>
      <c r="E24" s="155">
        <f>ROUND(D24*16.264%,0)</f>
        <v>263</v>
      </c>
      <c r="F24" s="155">
        <f t="shared" si="17"/>
        <v>202</v>
      </c>
      <c r="G24" s="155"/>
      <c r="H24" s="156">
        <f t="shared" si="3"/>
        <v>2084</v>
      </c>
      <c r="I24" s="182">
        <f>ROUND(12550/31*C24,0)</f>
        <v>1619</v>
      </c>
      <c r="J24" s="155">
        <f>ROUND(I24*16.264%,0)</f>
        <v>263</v>
      </c>
      <c r="K24" s="157">
        <f t="shared" si="18"/>
        <v>202</v>
      </c>
      <c r="L24" s="155"/>
      <c r="M24" s="201">
        <f t="shared" si="5"/>
        <v>2084</v>
      </c>
      <c r="N24" s="158">
        <f t="shared" si="11"/>
        <v>0</v>
      </c>
      <c r="O24" s="158">
        <f t="shared" si="12"/>
        <v>0</v>
      </c>
      <c r="P24" s="156">
        <f t="shared" si="6"/>
        <v>0</v>
      </c>
      <c r="Q24" s="156">
        <f t="shared" si="7"/>
        <v>0</v>
      </c>
      <c r="R24" s="188">
        <f t="shared" si="8"/>
        <v>0</v>
      </c>
    </row>
    <row r="25" spans="1:18" ht="14.25" customHeight="1">
      <c r="A25" s="703" t="s">
        <v>350</v>
      </c>
      <c r="B25" s="704"/>
      <c r="C25" s="704"/>
      <c r="D25" s="704"/>
      <c r="E25" s="704"/>
      <c r="F25" s="704"/>
      <c r="G25" s="704"/>
      <c r="H25" s="704"/>
      <c r="I25" s="704"/>
      <c r="J25" s="704"/>
      <c r="K25" s="704"/>
      <c r="L25" s="704"/>
      <c r="M25" s="704"/>
      <c r="N25" s="189">
        <f>SUM(N4:N24)</f>
        <v>3300</v>
      </c>
      <c r="O25" s="189">
        <f>SUM(O4:O24)</f>
        <v>155</v>
      </c>
      <c r="P25" s="189">
        <f>SUM(P4:P24)</f>
        <v>366</v>
      </c>
      <c r="Q25" s="189">
        <f>SUM(Q4:Q24)</f>
        <v>0</v>
      </c>
      <c r="R25" s="190">
        <f>SUM(R4:R24)</f>
        <v>3821</v>
      </c>
    </row>
    <row r="26" spans="1:18" ht="13.5" customHeight="1">
      <c r="A26" s="711" t="s">
        <v>319</v>
      </c>
      <c r="B26" s="712"/>
      <c r="C26" s="712"/>
      <c r="D26" s="712"/>
      <c r="E26" s="712"/>
      <c r="F26" s="712"/>
      <c r="G26" s="712"/>
      <c r="H26" s="712"/>
      <c r="I26" s="712"/>
      <c r="J26" s="712"/>
      <c r="K26" s="712"/>
      <c r="L26" s="712"/>
      <c r="M26" s="712"/>
      <c r="N26" s="712"/>
      <c r="O26" s="712"/>
      <c r="P26" s="712"/>
      <c r="Q26" s="712"/>
      <c r="R26" s="713"/>
    </row>
    <row r="27" spans="1:18" ht="22.5" customHeight="1">
      <c r="A27" s="711" t="s">
        <v>320</v>
      </c>
      <c r="B27" s="712"/>
      <c r="C27" s="712"/>
      <c r="D27" s="712"/>
      <c r="E27" s="712"/>
      <c r="F27" s="712"/>
      <c r="G27" s="712"/>
      <c r="H27" s="712"/>
      <c r="I27" s="712"/>
      <c r="J27" s="712"/>
      <c r="K27" s="712"/>
      <c r="L27" s="356"/>
      <c r="M27" s="356"/>
      <c r="N27" s="356"/>
      <c r="O27" s="356"/>
      <c r="P27" s="356"/>
      <c r="Q27" s="356"/>
      <c r="R27" s="357"/>
    </row>
    <row r="28" spans="1:18" ht="30" customHeight="1">
      <c r="A28" s="697" t="s">
        <v>146</v>
      </c>
      <c r="B28" s="698"/>
      <c r="C28" s="698"/>
      <c r="D28" s="698"/>
      <c r="E28" s="698"/>
      <c r="F28" s="698"/>
      <c r="G28" s="698"/>
      <c r="H28" s="698"/>
      <c r="I28" s="698"/>
      <c r="J28" s="698"/>
      <c r="K28" s="698"/>
      <c r="L28" s="698"/>
      <c r="M28" s="698"/>
      <c r="N28" s="698"/>
      <c r="O28" s="698"/>
      <c r="P28" s="698"/>
      <c r="Q28" s="698"/>
      <c r="R28" s="699"/>
    </row>
    <row r="29" spans="1:18" s="558" customFormat="1" ht="21.75" customHeight="1">
      <c r="A29" s="369">
        <v>40180</v>
      </c>
      <c r="B29" s="551" t="s">
        <v>172</v>
      </c>
      <c r="C29" s="150">
        <v>28</v>
      </c>
      <c r="D29" s="155">
        <v>12550</v>
      </c>
      <c r="E29" s="155">
        <f>ROUND(D29*16.264%,0)</f>
        <v>2041</v>
      </c>
      <c r="F29" s="155">
        <f>ROUND(D29*12.5%,0)</f>
        <v>1569</v>
      </c>
      <c r="G29" s="155">
        <v>150</v>
      </c>
      <c r="H29" s="552">
        <f>(D29+E29+F29)-G29</f>
        <v>16010</v>
      </c>
      <c r="I29" s="553">
        <v>12550</v>
      </c>
      <c r="J29" s="155">
        <f aca="true" t="shared" si="19" ref="J29:J36">ROUND(I29*16.264%,0)</f>
        <v>2041</v>
      </c>
      <c r="K29" s="554">
        <f>ROUND(I29*12.5%,0)</f>
        <v>1569</v>
      </c>
      <c r="L29" s="155">
        <v>150</v>
      </c>
      <c r="M29" s="555">
        <f>(I29+J29+K29)-L29</f>
        <v>16010</v>
      </c>
      <c r="N29" s="556">
        <f>D29-I29</f>
        <v>0</v>
      </c>
      <c r="O29" s="556">
        <f>E29-J29</f>
        <v>0</v>
      </c>
      <c r="P29" s="552">
        <f>F29-K29</f>
        <v>0</v>
      </c>
      <c r="Q29" s="552">
        <f>G29-L29</f>
        <v>0</v>
      </c>
      <c r="R29" s="557">
        <f>((N29+O29+P29)-Q29)</f>
        <v>0</v>
      </c>
    </row>
    <row r="30" spans="1:18" s="194" customFormat="1" ht="22.5" customHeight="1">
      <c r="A30" s="700" t="s">
        <v>245</v>
      </c>
      <c r="B30" s="701"/>
      <c r="C30" s="701"/>
      <c r="D30" s="701"/>
      <c r="E30" s="701"/>
      <c r="F30" s="701"/>
      <c r="G30" s="701"/>
      <c r="H30" s="701"/>
      <c r="I30" s="701"/>
      <c r="J30" s="701"/>
      <c r="K30" s="701"/>
      <c r="L30" s="701"/>
      <c r="M30" s="701"/>
      <c r="N30" s="701"/>
      <c r="O30" s="701"/>
      <c r="P30" s="701"/>
      <c r="Q30" s="701"/>
      <c r="R30" s="702"/>
    </row>
    <row r="31" spans="1:18" ht="21.75" customHeight="1">
      <c r="A31" s="709" t="s">
        <v>139</v>
      </c>
      <c r="B31" s="695"/>
      <c r="C31" s="695" t="s">
        <v>140</v>
      </c>
      <c r="D31" s="695" t="s">
        <v>141</v>
      </c>
      <c r="E31" s="695"/>
      <c r="F31" s="695"/>
      <c r="G31" s="695"/>
      <c r="H31" s="695"/>
      <c r="I31" s="695" t="s">
        <v>150</v>
      </c>
      <c r="J31" s="695"/>
      <c r="K31" s="695"/>
      <c r="L31" s="695"/>
      <c r="M31" s="695"/>
      <c r="N31" s="695" t="s">
        <v>142</v>
      </c>
      <c r="O31" s="695"/>
      <c r="P31" s="695"/>
      <c r="Q31" s="695"/>
      <c r="R31" s="696"/>
    </row>
    <row r="32" spans="1:18" ht="21.75" customHeight="1">
      <c r="A32" s="186" t="s">
        <v>143</v>
      </c>
      <c r="B32" s="149" t="s">
        <v>0</v>
      </c>
      <c r="C32" s="710"/>
      <c r="D32" s="149" t="s">
        <v>151</v>
      </c>
      <c r="E32" s="149" t="s">
        <v>152</v>
      </c>
      <c r="F32" s="149" t="s">
        <v>144</v>
      </c>
      <c r="G32" s="149" t="s">
        <v>145</v>
      </c>
      <c r="H32" s="149" t="s">
        <v>153</v>
      </c>
      <c r="I32" s="149" t="s">
        <v>151</v>
      </c>
      <c r="J32" s="149" t="s">
        <v>152</v>
      </c>
      <c r="K32" s="149" t="s">
        <v>144</v>
      </c>
      <c r="L32" s="149" t="s">
        <v>145</v>
      </c>
      <c r="M32" s="200" t="s">
        <v>153</v>
      </c>
      <c r="N32" s="149" t="s">
        <v>151</v>
      </c>
      <c r="O32" s="149" t="s">
        <v>152</v>
      </c>
      <c r="P32" s="149" t="s">
        <v>144</v>
      </c>
      <c r="Q32" s="547" t="s">
        <v>61</v>
      </c>
      <c r="R32" s="187" t="s">
        <v>153</v>
      </c>
    </row>
    <row r="33" spans="1:18" ht="12.75" customHeight="1">
      <c r="A33" s="364">
        <v>40181</v>
      </c>
      <c r="B33" s="358" t="s">
        <v>173</v>
      </c>
      <c r="C33" s="152">
        <v>31</v>
      </c>
      <c r="D33" s="155">
        <v>12550</v>
      </c>
      <c r="E33" s="155">
        <f>ROUND(D33*16.264%,0)</f>
        <v>2041</v>
      </c>
      <c r="F33" s="155">
        <f>ROUND(D33*12.5%,0)</f>
        <v>1569</v>
      </c>
      <c r="G33" s="155">
        <v>150</v>
      </c>
      <c r="H33" s="156">
        <f>(D33+E33+F33)-G33</f>
        <v>16010</v>
      </c>
      <c r="I33" s="181">
        <v>12550</v>
      </c>
      <c r="J33" s="155">
        <f t="shared" si="19"/>
        <v>2041</v>
      </c>
      <c r="K33" s="157">
        <f>ROUND(I33*12.5%,0)</f>
        <v>1569</v>
      </c>
      <c r="L33" s="155">
        <v>150</v>
      </c>
      <c r="M33" s="201">
        <f>(I33+J33+K33)-L33</f>
        <v>16010</v>
      </c>
      <c r="N33" s="158">
        <f aca="true" t="shared" si="20" ref="N33:N49">D33-I33</f>
        <v>0</v>
      </c>
      <c r="O33" s="158">
        <f aca="true" t="shared" si="21" ref="O33:O51">E33-J33</f>
        <v>0</v>
      </c>
      <c r="P33" s="156">
        <f>F33-K33</f>
        <v>0</v>
      </c>
      <c r="Q33" s="156">
        <f>G33-L33</f>
        <v>0</v>
      </c>
      <c r="R33" s="188">
        <f>((N33+O33+P33)-Q33)</f>
        <v>0</v>
      </c>
    </row>
    <row r="34" spans="1:18" ht="12.75" customHeight="1">
      <c r="A34" s="365">
        <v>40182</v>
      </c>
      <c r="B34" s="181" t="s">
        <v>174</v>
      </c>
      <c r="C34" s="155">
        <v>30</v>
      </c>
      <c r="D34" s="155">
        <f>D33</f>
        <v>12550</v>
      </c>
      <c r="E34" s="155">
        <f>ROUND(D34*16.264%,0)</f>
        <v>2041</v>
      </c>
      <c r="F34" s="155">
        <f aca="true" t="shared" si="22" ref="F34:F45">ROUND(D34*12.5%,0)</f>
        <v>1569</v>
      </c>
      <c r="G34" s="155">
        <v>150</v>
      </c>
      <c r="H34" s="156">
        <f aca="true" t="shared" si="23" ref="H34:H40">(D34+E34+F34)-G34</f>
        <v>16010</v>
      </c>
      <c r="I34" s="181">
        <v>12550</v>
      </c>
      <c r="J34" s="155">
        <f t="shared" si="19"/>
        <v>2041</v>
      </c>
      <c r="K34" s="157">
        <f>K33</f>
        <v>1569</v>
      </c>
      <c r="L34" s="155">
        <v>150</v>
      </c>
      <c r="M34" s="201">
        <f aca="true" t="shared" si="24" ref="M34:M51">(I34+J34+K34)-L34</f>
        <v>16010</v>
      </c>
      <c r="N34" s="158">
        <f t="shared" si="20"/>
        <v>0</v>
      </c>
      <c r="O34" s="158">
        <f t="shared" si="21"/>
        <v>0</v>
      </c>
      <c r="P34" s="156">
        <f>F34-K34</f>
        <v>0</v>
      </c>
      <c r="Q34" s="156">
        <f>G34-L34</f>
        <v>0</v>
      </c>
      <c r="R34" s="188">
        <f>((N34+O34+P34)-Q34)</f>
        <v>0</v>
      </c>
    </row>
    <row r="35" spans="1:18" ht="12.75" customHeight="1">
      <c r="A35" s="365">
        <v>40183</v>
      </c>
      <c r="B35" s="181" t="s">
        <v>175</v>
      </c>
      <c r="C35" s="155">
        <v>31</v>
      </c>
      <c r="D35" s="155">
        <f>D34</f>
        <v>12550</v>
      </c>
      <c r="E35" s="155">
        <f>ROUND(D35*16.264%,0)</f>
        <v>2041</v>
      </c>
      <c r="F35" s="155">
        <f t="shared" si="22"/>
        <v>1569</v>
      </c>
      <c r="G35" s="155">
        <v>150</v>
      </c>
      <c r="H35" s="156">
        <f t="shared" si="23"/>
        <v>16010</v>
      </c>
      <c r="I35" s="181">
        <v>12550</v>
      </c>
      <c r="J35" s="155">
        <f t="shared" si="19"/>
        <v>2041</v>
      </c>
      <c r="K35" s="157">
        <f>K33</f>
        <v>1569</v>
      </c>
      <c r="L35" s="155">
        <v>150</v>
      </c>
      <c r="M35" s="201">
        <f t="shared" si="24"/>
        <v>16010</v>
      </c>
      <c r="N35" s="158">
        <f t="shared" si="20"/>
        <v>0</v>
      </c>
      <c r="O35" s="158">
        <f t="shared" si="21"/>
        <v>0</v>
      </c>
      <c r="P35" s="156">
        <f aca="true" t="shared" si="25" ref="P35:P40">F35-K35</f>
        <v>0</v>
      </c>
      <c r="Q35" s="156">
        <f aca="true" t="shared" si="26" ref="Q35:Q49">G35-L35</f>
        <v>0</v>
      </c>
      <c r="R35" s="188">
        <f aca="true" t="shared" si="27" ref="R35:R40">((N35+O35+P35)-Q35)</f>
        <v>0</v>
      </c>
    </row>
    <row r="36" spans="1:18" ht="12.75" customHeight="1">
      <c r="A36" s="365">
        <v>40184</v>
      </c>
      <c r="B36" s="181" t="s">
        <v>176</v>
      </c>
      <c r="C36" s="155">
        <v>30</v>
      </c>
      <c r="D36" s="155">
        <f aca="true" t="shared" si="28" ref="D36:D42">D35</f>
        <v>12550</v>
      </c>
      <c r="E36" s="155">
        <f>ROUND(D36*16.264%,0)</f>
        <v>2041</v>
      </c>
      <c r="F36" s="155">
        <f t="shared" si="22"/>
        <v>1569</v>
      </c>
      <c r="G36" s="155">
        <v>150</v>
      </c>
      <c r="H36" s="156">
        <f t="shared" si="23"/>
        <v>16010</v>
      </c>
      <c r="I36" s="181">
        <v>12550</v>
      </c>
      <c r="J36" s="155">
        <f t="shared" si="19"/>
        <v>2041</v>
      </c>
      <c r="K36" s="157">
        <v>1569</v>
      </c>
      <c r="L36" s="155">
        <v>150</v>
      </c>
      <c r="M36" s="201">
        <f t="shared" si="24"/>
        <v>16010</v>
      </c>
      <c r="N36" s="158">
        <f t="shared" si="20"/>
        <v>0</v>
      </c>
      <c r="O36" s="158">
        <f t="shared" si="21"/>
        <v>0</v>
      </c>
      <c r="P36" s="156">
        <f t="shared" si="25"/>
        <v>0</v>
      </c>
      <c r="Q36" s="156">
        <f t="shared" si="26"/>
        <v>0</v>
      </c>
      <c r="R36" s="188">
        <f t="shared" si="27"/>
        <v>0</v>
      </c>
    </row>
    <row r="37" spans="1:18" ht="12.75" customHeight="1">
      <c r="A37" s="365">
        <v>40185</v>
      </c>
      <c r="B37" s="181" t="s">
        <v>223</v>
      </c>
      <c r="C37" s="155">
        <v>31</v>
      </c>
      <c r="D37" s="167">
        <v>12550</v>
      </c>
      <c r="E37" s="155">
        <f aca="true" t="shared" si="29" ref="E37:E42">ROUND(D37*24.824%,0)</f>
        <v>3115</v>
      </c>
      <c r="F37" s="155">
        <f t="shared" si="22"/>
        <v>1569</v>
      </c>
      <c r="G37" s="155">
        <v>150</v>
      </c>
      <c r="H37" s="156">
        <f t="shared" si="23"/>
        <v>17084</v>
      </c>
      <c r="I37" s="181">
        <v>12550</v>
      </c>
      <c r="J37" s="155">
        <f aca="true" t="shared" si="30" ref="J37:J42">ROUND(I37*24.824%,0)</f>
        <v>3115</v>
      </c>
      <c r="K37" s="157">
        <v>1569</v>
      </c>
      <c r="L37" s="155">
        <v>150</v>
      </c>
      <c r="M37" s="201">
        <f t="shared" si="24"/>
        <v>17084</v>
      </c>
      <c r="N37" s="158">
        <f t="shared" si="20"/>
        <v>0</v>
      </c>
      <c r="O37" s="158">
        <f t="shared" si="21"/>
        <v>0</v>
      </c>
      <c r="P37" s="156">
        <f t="shared" si="25"/>
        <v>0</v>
      </c>
      <c r="Q37" s="156">
        <f t="shared" si="26"/>
        <v>0</v>
      </c>
      <c r="R37" s="188">
        <f t="shared" si="27"/>
        <v>0</v>
      </c>
    </row>
    <row r="38" spans="1:18" ht="12.75" customHeight="1">
      <c r="A38" s="365">
        <v>40186</v>
      </c>
      <c r="B38" s="181" t="s">
        <v>177</v>
      </c>
      <c r="C38" s="155">
        <v>31</v>
      </c>
      <c r="D38" s="168">
        <v>12910</v>
      </c>
      <c r="E38" s="155">
        <f t="shared" si="29"/>
        <v>3205</v>
      </c>
      <c r="F38" s="155">
        <f t="shared" si="22"/>
        <v>1614</v>
      </c>
      <c r="G38" s="155">
        <v>150</v>
      </c>
      <c r="H38" s="156">
        <f t="shared" si="23"/>
        <v>17579</v>
      </c>
      <c r="I38" s="181">
        <v>12550</v>
      </c>
      <c r="J38" s="155">
        <f t="shared" si="30"/>
        <v>3115</v>
      </c>
      <c r="K38" s="157">
        <v>1569</v>
      </c>
      <c r="L38" s="155">
        <v>150</v>
      </c>
      <c r="M38" s="201">
        <f t="shared" si="24"/>
        <v>17084</v>
      </c>
      <c r="N38" s="158">
        <f t="shared" si="20"/>
        <v>360</v>
      </c>
      <c r="O38" s="158">
        <f t="shared" si="21"/>
        <v>90</v>
      </c>
      <c r="P38" s="156">
        <f t="shared" si="25"/>
        <v>45</v>
      </c>
      <c r="Q38" s="156">
        <f>ROUND(N38*8.56%,0)</f>
        <v>31</v>
      </c>
      <c r="R38" s="188">
        <f t="shared" si="27"/>
        <v>464</v>
      </c>
    </row>
    <row r="39" spans="1:18" ht="12.75" customHeight="1">
      <c r="A39" s="365">
        <v>40187</v>
      </c>
      <c r="B39" s="181" t="s">
        <v>178</v>
      </c>
      <c r="C39" s="155">
        <v>30</v>
      </c>
      <c r="D39" s="155">
        <f t="shared" si="28"/>
        <v>12910</v>
      </c>
      <c r="E39" s="155">
        <f t="shared" si="29"/>
        <v>3205</v>
      </c>
      <c r="F39" s="155">
        <f t="shared" si="22"/>
        <v>1614</v>
      </c>
      <c r="G39" s="155">
        <v>150</v>
      </c>
      <c r="H39" s="156">
        <f t="shared" si="23"/>
        <v>17579</v>
      </c>
      <c r="I39" s="181">
        <v>12550</v>
      </c>
      <c r="J39" s="155">
        <f t="shared" si="30"/>
        <v>3115</v>
      </c>
      <c r="K39" s="157">
        <v>1569</v>
      </c>
      <c r="L39" s="155">
        <v>150</v>
      </c>
      <c r="M39" s="201">
        <f t="shared" si="24"/>
        <v>17084</v>
      </c>
      <c r="N39" s="158">
        <f t="shared" si="20"/>
        <v>360</v>
      </c>
      <c r="O39" s="158">
        <f t="shared" si="21"/>
        <v>90</v>
      </c>
      <c r="P39" s="156">
        <f t="shared" si="25"/>
        <v>45</v>
      </c>
      <c r="Q39" s="156">
        <f>ROUND(N39*8.56%,0)</f>
        <v>31</v>
      </c>
      <c r="R39" s="188">
        <f t="shared" si="27"/>
        <v>464</v>
      </c>
    </row>
    <row r="40" spans="1:18" ht="12.75" customHeight="1">
      <c r="A40" s="365">
        <v>40188</v>
      </c>
      <c r="B40" s="181" t="s">
        <v>269</v>
      </c>
      <c r="C40" s="155">
        <v>31</v>
      </c>
      <c r="D40" s="155">
        <f t="shared" si="28"/>
        <v>12910</v>
      </c>
      <c r="E40" s="155">
        <f t="shared" si="29"/>
        <v>3205</v>
      </c>
      <c r="F40" s="155">
        <f t="shared" si="22"/>
        <v>1614</v>
      </c>
      <c r="G40" s="155">
        <v>150</v>
      </c>
      <c r="H40" s="156">
        <f t="shared" si="23"/>
        <v>17579</v>
      </c>
      <c r="I40" s="181">
        <v>12550</v>
      </c>
      <c r="J40" s="155">
        <f t="shared" si="30"/>
        <v>3115</v>
      </c>
      <c r="K40" s="157">
        <v>1569</v>
      </c>
      <c r="L40" s="155">
        <v>150</v>
      </c>
      <c r="M40" s="201">
        <f t="shared" si="24"/>
        <v>17084</v>
      </c>
      <c r="N40" s="158">
        <f t="shared" si="20"/>
        <v>360</v>
      </c>
      <c r="O40" s="158">
        <f t="shared" si="21"/>
        <v>90</v>
      </c>
      <c r="P40" s="156">
        <f t="shared" si="25"/>
        <v>45</v>
      </c>
      <c r="Q40" s="156">
        <f>ROUND(N40*8.56%,0)</f>
        <v>31</v>
      </c>
      <c r="R40" s="188">
        <f t="shared" si="27"/>
        <v>464</v>
      </c>
    </row>
    <row r="41" spans="1:18" ht="12.75" customHeight="1">
      <c r="A41" s="365">
        <v>40189</v>
      </c>
      <c r="B41" s="181" t="s">
        <v>201</v>
      </c>
      <c r="C41" s="155">
        <v>30</v>
      </c>
      <c r="D41" s="155">
        <f t="shared" si="28"/>
        <v>12910</v>
      </c>
      <c r="E41" s="155">
        <f t="shared" si="29"/>
        <v>3205</v>
      </c>
      <c r="F41" s="155">
        <f t="shared" si="22"/>
        <v>1614</v>
      </c>
      <c r="G41" s="155">
        <v>150</v>
      </c>
      <c r="H41" s="156">
        <f>(D41+E41+F41)-G41</f>
        <v>17579</v>
      </c>
      <c r="I41" s="181">
        <v>12550</v>
      </c>
      <c r="J41" s="155">
        <f t="shared" si="30"/>
        <v>3115</v>
      </c>
      <c r="K41" s="157">
        <v>1569</v>
      </c>
      <c r="L41" s="155">
        <v>150</v>
      </c>
      <c r="M41" s="201">
        <f t="shared" si="24"/>
        <v>17084</v>
      </c>
      <c r="N41" s="158">
        <f t="shared" si="20"/>
        <v>360</v>
      </c>
      <c r="O41" s="158">
        <f t="shared" si="21"/>
        <v>90</v>
      </c>
      <c r="P41" s="156">
        <f>F41-K41</f>
        <v>45</v>
      </c>
      <c r="Q41" s="156">
        <f>ROUND(N41*8.56%,0)</f>
        <v>31</v>
      </c>
      <c r="R41" s="188">
        <f>((N41+O41+P41)-Q41)</f>
        <v>464</v>
      </c>
    </row>
    <row r="42" spans="1:18" s="287" customFormat="1" ht="12.75" customHeight="1">
      <c r="A42" s="370">
        <v>40190</v>
      </c>
      <c r="B42" s="283" t="s">
        <v>268</v>
      </c>
      <c r="C42" s="279">
        <v>31</v>
      </c>
      <c r="D42" s="279">
        <f t="shared" si="28"/>
        <v>12910</v>
      </c>
      <c r="E42" s="279">
        <f t="shared" si="29"/>
        <v>3205</v>
      </c>
      <c r="F42" s="279">
        <f t="shared" si="22"/>
        <v>1614</v>
      </c>
      <c r="G42" s="279">
        <v>150</v>
      </c>
      <c r="H42" s="282">
        <f>(D42+E42+F42)-G42</f>
        <v>17579</v>
      </c>
      <c r="I42" s="283">
        <v>12550</v>
      </c>
      <c r="J42" s="279">
        <f t="shared" si="30"/>
        <v>3115</v>
      </c>
      <c r="K42" s="282">
        <v>1569</v>
      </c>
      <c r="L42" s="279">
        <v>150</v>
      </c>
      <c r="M42" s="284">
        <f t="shared" si="24"/>
        <v>17084</v>
      </c>
      <c r="N42" s="285">
        <f t="shared" si="20"/>
        <v>360</v>
      </c>
      <c r="O42" s="285">
        <f t="shared" si="21"/>
        <v>90</v>
      </c>
      <c r="P42" s="282">
        <f>F42-K42</f>
        <v>45</v>
      </c>
      <c r="Q42" s="282">
        <f t="shared" si="26"/>
        <v>0</v>
      </c>
      <c r="R42" s="286">
        <f>((N42+O42+P42)-Q42)</f>
        <v>495</v>
      </c>
    </row>
    <row r="43" spans="1:18" s="179" customFormat="1" ht="12.75" customHeight="1">
      <c r="A43" s="371">
        <v>40544</v>
      </c>
      <c r="B43" s="360" t="s">
        <v>235</v>
      </c>
      <c r="C43" s="175">
        <v>31</v>
      </c>
      <c r="D43" s="175">
        <v>12910</v>
      </c>
      <c r="E43" s="175">
        <f>ROUND(D43*29.96%,0)</f>
        <v>3868</v>
      </c>
      <c r="F43" s="175">
        <f t="shared" si="22"/>
        <v>1614</v>
      </c>
      <c r="G43" s="175">
        <v>150</v>
      </c>
      <c r="H43" s="176">
        <f aca="true" t="shared" si="31" ref="H43:H51">(D43+E43+F43)-G43</f>
        <v>18242</v>
      </c>
      <c r="I43" s="184">
        <v>12910</v>
      </c>
      <c r="J43" s="175">
        <f>ROUND(I43*29.96%,0)</f>
        <v>3868</v>
      </c>
      <c r="K43" s="177">
        <f>ROUND(I43*12.5%,0)</f>
        <v>1614</v>
      </c>
      <c r="L43" s="175">
        <v>150</v>
      </c>
      <c r="M43" s="201">
        <f t="shared" si="24"/>
        <v>18242</v>
      </c>
      <c r="N43" s="178">
        <f t="shared" si="20"/>
        <v>0</v>
      </c>
      <c r="O43" s="178">
        <f t="shared" si="21"/>
        <v>0</v>
      </c>
      <c r="P43" s="176">
        <f aca="true" t="shared" si="32" ref="P43:P51">F43-K43</f>
        <v>0</v>
      </c>
      <c r="Q43" s="176">
        <f t="shared" si="26"/>
        <v>0</v>
      </c>
      <c r="R43" s="192">
        <f aca="true" t="shared" si="33" ref="R43:R51">((N43+O43+P43)-Q43)</f>
        <v>0</v>
      </c>
    </row>
    <row r="44" spans="1:18" s="179" customFormat="1" ht="12.75" customHeight="1">
      <c r="A44" s="371">
        <v>40545</v>
      </c>
      <c r="B44" s="360" t="s">
        <v>236</v>
      </c>
      <c r="C44" s="175">
        <v>28</v>
      </c>
      <c r="D44" s="175">
        <v>12910</v>
      </c>
      <c r="E44" s="175">
        <f aca="true" t="shared" si="34" ref="E44:E51">ROUND(D44*29.96%,0)</f>
        <v>3868</v>
      </c>
      <c r="F44" s="175">
        <f t="shared" si="22"/>
        <v>1614</v>
      </c>
      <c r="G44" s="175">
        <v>150</v>
      </c>
      <c r="H44" s="176">
        <f t="shared" si="31"/>
        <v>18242</v>
      </c>
      <c r="I44" s="184">
        <v>12910</v>
      </c>
      <c r="J44" s="175">
        <f aca="true" t="shared" si="35" ref="J44:J49">ROUND(I44*29.96%,0)</f>
        <v>3868</v>
      </c>
      <c r="K44" s="177">
        <f>ROUND(I44*12.5%,0)</f>
        <v>1614</v>
      </c>
      <c r="L44" s="175">
        <v>150</v>
      </c>
      <c r="M44" s="201">
        <f t="shared" si="24"/>
        <v>18242</v>
      </c>
      <c r="N44" s="178">
        <f t="shared" si="20"/>
        <v>0</v>
      </c>
      <c r="O44" s="178">
        <f t="shared" si="21"/>
        <v>0</v>
      </c>
      <c r="P44" s="176">
        <f t="shared" si="32"/>
        <v>0</v>
      </c>
      <c r="Q44" s="176">
        <f t="shared" si="26"/>
        <v>0</v>
      </c>
      <c r="R44" s="192">
        <f t="shared" si="33"/>
        <v>0</v>
      </c>
    </row>
    <row r="45" spans="1:18" s="179" customFormat="1" ht="12.75" customHeight="1">
      <c r="A45" s="371">
        <v>40546</v>
      </c>
      <c r="B45" s="360" t="s">
        <v>237</v>
      </c>
      <c r="C45" s="175">
        <v>31</v>
      </c>
      <c r="D45" s="175">
        <v>12910</v>
      </c>
      <c r="E45" s="175">
        <f t="shared" si="34"/>
        <v>3868</v>
      </c>
      <c r="F45" s="175">
        <f t="shared" si="22"/>
        <v>1614</v>
      </c>
      <c r="G45" s="175">
        <v>150</v>
      </c>
      <c r="H45" s="176">
        <f t="shared" si="31"/>
        <v>18242</v>
      </c>
      <c r="I45" s="184">
        <v>12910</v>
      </c>
      <c r="J45" s="175">
        <f t="shared" si="35"/>
        <v>3868</v>
      </c>
      <c r="K45" s="177">
        <f>ROUND(I45*12.5%,0)</f>
        <v>1614</v>
      </c>
      <c r="L45" s="175">
        <v>150</v>
      </c>
      <c r="M45" s="201">
        <f t="shared" si="24"/>
        <v>18242</v>
      </c>
      <c r="N45" s="178">
        <f t="shared" si="20"/>
        <v>0</v>
      </c>
      <c r="O45" s="178">
        <f t="shared" si="21"/>
        <v>0</v>
      </c>
      <c r="P45" s="176">
        <f t="shared" si="32"/>
        <v>0</v>
      </c>
      <c r="Q45" s="176">
        <f t="shared" si="26"/>
        <v>0</v>
      </c>
      <c r="R45" s="192">
        <f t="shared" si="33"/>
        <v>0</v>
      </c>
    </row>
    <row r="46" spans="1:18" s="580" customFormat="1" ht="12.75" customHeight="1">
      <c r="A46" s="573">
        <v>40547</v>
      </c>
      <c r="B46" s="574" t="s">
        <v>238</v>
      </c>
      <c r="C46" s="575">
        <v>30</v>
      </c>
      <c r="D46" s="575">
        <v>12910</v>
      </c>
      <c r="E46" s="575">
        <f t="shared" si="34"/>
        <v>3868</v>
      </c>
      <c r="F46" s="575">
        <f>ROUND(D46*SH!E26%,0)</f>
        <v>1549</v>
      </c>
      <c r="G46" s="575">
        <v>150</v>
      </c>
      <c r="H46" s="576">
        <f t="shared" si="31"/>
        <v>18177</v>
      </c>
      <c r="I46" s="574">
        <v>12910</v>
      </c>
      <c r="J46" s="575">
        <f t="shared" si="35"/>
        <v>3868</v>
      </c>
      <c r="K46" s="575">
        <f>ROUND(I46*SH!E26%,0)</f>
        <v>1549</v>
      </c>
      <c r="L46" s="575">
        <v>150</v>
      </c>
      <c r="M46" s="577">
        <f t="shared" si="24"/>
        <v>18177</v>
      </c>
      <c r="N46" s="578">
        <f t="shared" si="20"/>
        <v>0</v>
      </c>
      <c r="O46" s="578">
        <f t="shared" si="21"/>
        <v>0</v>
      </c>
      <c r="P46" s="576">
        <f t="shared" si="32"/>
        <v>0</v>
      </c>
      <c r="Q46" s="576">
        <f t="shared" si="26"/>
        <v>0</v>
      </c>
      <c r="R46" s="579">
        <f t="shared" si="33"/>
        <v>0</v>
      </c>
    </row>
    <row r="47" spans="1:18" s="179" customFormat="1" ht="12.75" customHeight="1">
      <c r="A47" s="371">
        <v>40548</v>
      </c>
      <c r="B47" s="360" t="s">
        <v>239</v>
      </c>
      <c r="C47" s="175">
        <v>31</v>
      </c>
      <c r="D47" s="175">
        <v>12910</v>
      </c>
      <c r="E47" s="175">
        <f t="shared" si="34"/>
        <v>3868</v>
      </c>
      <c r="F47" s="175">
        <f>ROUND(D47*SH!E26%,0)</f>
        <v>1549</v>
      </c>
      <c r="G47" s="175">
        <v>150</v>
      </c>
      <c r="H47" s="176">
        <f t="shared" si="31"/>
        <v>18177</v>
      </c>
      <c r="I47" s="184">
        <v>12910</v>
      </c>
      <c r="J47" s="175">
        <f t="shared" si="35"/>
        <v>3868</v>
      </c>
      <c r="K47" s="175">
        <f>ROUND(I47*SH!E26%,0)</f>
        <v>1549</v>
      </c>
      <c r="L47" s="175">
        <v>150</v>
      </c>
      <c r="M47" s="201">
        <f t="shared" si="24"/>
        <v>18177</v>
      </c>
      <c r="N47" s="178">
        <f t="shared" si="20"/>
        <v>0</v>
      </c>
      <c r="O47" s="178">
        <f t="shared" si="21"/>
        <v>0</v>
      </c>
      <c r="P47" s="176">
        <f t="shared" si="32"/>
        <v>0</v>
      </c>
      <c r="Q47" s="176">
        <f t="shared" si="26"/>
        <v>0</v>
      </c>
      <c r="R47" s="192">
        <f t="shared" si="33"/>
        <v>0</v>
      </c>
    </row>
    <row r="48" spans="1:18" s="255" customFormat="1" ht="12.75" customHeight="1">
      <c r="A48" s="372">
        <v>40549</v>
      </c>
      <c r="B48" s="361" t="s">
        <v>240</v>
      </c>
      <c r="C48" s="250">
        <v>30</v>
      </c>
      <c r="D48" s="250">
        <v>12910</v>
      </c>
      <c r="E48" s="250">
        <f t="shared" si="34"/>
        <v>3868</v>
      </c>
      <c r="F48" s="175">
        <f>ROUND(D48*SH!E26%,0)</f>
        <v>1549</v>
      </c>
      <c r="G48" s="250">
        <v>150</v>
      </c>
      <c r="H48" s="251">
        <f t="shared" si="31"/>
        <v>18177</v>
      </c>
      <c r="I48" s="252">
        <v>12910</v>
      </c>
      <c r="J48" s="250">
        <f t="shared" si="35"/>
        <v>3868</v>
      </c>
      <c r="K48" s="175">
        <f>ROUND(I48*SH!E26%,0)</f>
        <v>1549</v>
      </c>
      <c r="L48" s="250">
        <v>150</v>
      </c>
      <c r="M48" s="253">
        <f t="shared" si="24"/>
        <v>18177</v>
      </c>
      <c r="N48" s="254">
        <f t="shared" si="20"/>
        <v>0</v>
      </c>
      <c r="O48" s="254">
        <f t="shared" si="21"/>
        <v>0</v>
      </c>
      <c r="P48" s="251">
        <f t="shared" si="32"/>
        <v>0</v>
      </c>
      <c r="Q48" s="251">
        <f t="shared" si="26"/>
        <v>0</v>
      </c>
      <c r="R48" s="277">
        <f t="shared" si="33"/>
        <v>0</v>
      </c>
    </row>
    <row r="49" spans="1:18" s="262" customFormat="1" ht="12.75" customHeight="1">
      <c r="A49" s="373">
        <v>40550</v>
      </c>
      <c r="B49" s="362" t="s">
        <v>241</v>
      </c>
      <c r="C49" s="257">
        <v>31</v>
      </c>
      <c r="D49" s="257">
        <v>12910</v>
      </c>
      <c r="E49" s="257">
        <f t="shared" si="34"/>
        <v>3868</v>
      </c>
      <c r="F49" s="175">
        <f>ROUND(D49*SH!E26%,0)</f>
        <v>1549</v>
      </c>
      <c r="G49" s="257">
        <v>150</v>
      </c>
      <c r="H49" s="258">
        <f t="shared" si="31"/>
        <v>18177</v>
      </c>
      <c r="I49" s="259">
        <v>12910</v>
      </c>
      <c r="J49" s="257">
        <f t="shared" si="35"/>
        <v>3868</v>
      </c>
      <c r="K49" s="175">
        <f>ROUND(I49*SH!E26%,0)</f>
        <v>1549</v>
      </c>
      <c r="L49" s="257">
        <v>150</v>
      </c>
      <c r="M49" s="260">
        <f t="shared" si="24"/>
        <v>18177</v>
      </c>
      <c r="N49" s="261">
        <f t="shared" si="20"/>
        <v>0</v>
      </c>
      <c r="O49" s="261">
        <f t="shared" si="21"/>
        <v>0</v>
      </c>
      <c r="P49" s="258">
        <f t="shared" si="32"/>
        <v>0</v>
      </c>
      <c r="Q49" s="258">
        <f t="shared" si="26"/>
        <v>0</v>
      </c>
      <c r="R49" s="278">
        <f t="shared" si="33"/>
        <v>0</v>
      </c>
    </row>
    <row r="50" spans="1:18" s="262" customFormat="1" ht="12.75" customHeight="1">
      <c r="A50" s="373">
        <v>40551</v>
      </c>
      <c r="B50" s="362" t="s">
        <v>242</v>
      </c>
      <c r="C50" s="257">
        <v>31</v>
      </c>
      <c r="D50" s="263">
        <v>13270</v>
      </c>
      <c r="E50" s="257">
        <f t="shared" si="34"/>
        <v>3976</v>
      </c>
      <c r="F50" s="175">
        <f>ROUND(D50*SH!E26%,0)</f>
        <v>1592</v>
      </c>
      <c r="G50" s="257">
        <v>150</v>
      </c>
      <c r="H50" s="258">
        <f t="shared" si="31"/>
        <v>18688</v>
      </c>
      <c r="I50" s="259">
        <v>12910</v>
      </c>
      <c r="J50" s="257">
        <f>ROUND(I50*29.96%,0)</f>
        <v>3868</v>
      </c>
      <c r="K50" s="175">
        <f>ROUND(I50*SH!E26%,0)</f>
        <v>1549</v>
      </c>
      <c r="L50" s="257">
        <v>150</v>
      </c>
      <c r="M50" s="260">
        <f t="shared" si="24"/>
        <v>18177</v>
      </c>
      <c r="N50" s="261">
        <f>D50-I50</f>
        <v>360</v>
      </c>
      <c r="O50" s="261">
        <f t="shared" si="21"/>
        <v>108</v>
      </c>
      <c r="P50" s="258">
        <f t="shared" si="32"/>
        <v>43</v>
      </c>
      <c r="Q50" s="258">
        <f>G50-L50</f>
        <v>0</v>
      </c>
      <c r="R50" s="278">
        <f t="shared" si="33"/>
        <v>511</v>
      </c>
    </row>
    <row r="51" spans="1:18" s="262" customFormat="1" ht="12.75" customHeight="1">
      <c r="A51" s="373">
        <v>40552</v>
      </c>
      <c r="B51" s="362" t="s">
        <v>244</v>
      </c>
      <c r="C51" s="257">
        <v>30</v>
      </c>
      <c r="D51" s="256">
        <v>13270</v>
      </c>
      <c r="E51" s="257">
        <f t="shared" si="34"/>
        <v>3976</v>
      </c>
      <c r="F51" s="175">
        <f>ROUND(D51*SH!E26%,0)</f>
        <v>1592</v>
      </c>
      <c r="G51" s="257">
        <v>150</v>
      </c>
      <c r="H51" s="258">
        <f t="shared" si="31"/>
        <v>18688</v>
      </c>
      <c r="I51" s="259">
        <v>12910</v>
      </c>
      <c r="J51" s="257">
        <f>ROUND(I51*29.96%,0)</f>
        <v>3868</v>
      </c>
      <c r="K51" s="175">
        <f>ROUND(I51*SH!E26%,0)</f>
        <v>1549</v>
      </c>
      <c r="L51" s="257">
        <v>150</v>
      </c>
      <c r="M51" s="260">
        <f t="shared" si="24"/>
        <v>18177</v>
      </c>
      <c r="N51" s="261">
        <f>D51-I51</f>
        <v>360</v>
      </c>
      <c r="O51" s="261">
        <f t="shared" si="21"/>
        <v>108</v>
      </c>
      <c r="P51" s="258">
        <f t="shared" si="32"/>
        <v>43</v>
      </c>
      <c r="Q51" s="258">
        <f>G51-L51</f>
        <v>0</v>
      </c>
      <c r="R51" s="278">
        <f t="shared" si="33"/>
        <v>511</v>
      </c>
    </row>
    <row r="52" spans="1:18" s="262" customFormat="1" ht="12.75" customHeight="1">
      <c r="A52" s="373">
        <v>40553</v>
      </c>
      <c r="B52" s="362" t="s">
        <v>549</v>
      </c>
      <c r="C52" s="257">
        <v>31</v>
      </c>
      <c r="D52" s="256">
        <v>13270</v>
      </c>
      <c r="E52" s="257">
        <f>ROUND(D52*29.96%,0)</f>
        <v>3976</v>
      </c>
      <c r="F52" s="175">
        <f>ROUND(D52*SH!E26%,0)</f>
        <v>1592</v>
      </c>
      <c r="G52" s="257">
        <v>150</v>
      </c>
      <c r="H52" s="258">
        <f>(D52+E52+F52)-G52</f>
        <v>18688</v>
      </c>
      <c r="I52" s="259">
        <v>12910</v>
      </c>
      <c r="J52" s="257">
        <f>ROUND(I52*29.96%,0)</f>
        <v>3868</v>
      </c>
      <c r="K52" s="175">
        <f>ROUND(I52*SH!E26%,0)</f>
        <v>1549</v>
      </c>
      <c r="L52" s="257">
        <v>150</v>
      </c>
      <c r="M52" s="260">
        <f>(I52+J52+K52)-L52</f>
        <v>18177</v>
      </c>
      <c r="N52" s="261">
        <f>D52-I52</f>
        <v>360</v>
      </c>
      <c r="O52" s="261">
        <f>E52-J52</f>
        <v>108</v>
      </c>
      <c r="P52" s="258">
        <f>F52-K52</f>
        <v>43</v>
      </c>
      <c r="Q52" s="258">
        <f>G52-L52</f>
        <v>0</v>
      </c>
      <c r="R52" s="278">
        <f>((N52+O52+P52)-Q52)</f>
        <v>511</v>
      </c>
    </row>
    <row r="53" spans="1:18" s="262" customFormat="1" ht="12.75" customHeight="1">
      <c r="A53" s="550"/>
      <c r="B53" s="477"/>
      <c r="C53" s="257"/>
      <c r="D53" s="256"/>
      <c r="E53" s="257"/>
      <c r="F53" s="257"/>
      <c r="G53" s="257"/>
      <c r="H53" s="258"/>
      <c r="I53" s="259"/>
      <c r="J53" s="257"/>
      <c r="K53" s="257"/>
      <c r="L53" s="257"/>
      <c r="M53" s="260"/>
      <c r="N53" s="261"/>
      <c r="O53" s="261"/>
      <c r="P53" s="258"/>
      <c r="Q53" s="258"/>
      <c r="R53" s="278"/>
    </row>
    <row r="54" spans="1:18" s="262" customFormat="1" ht="12.75" customHeight="1">
      <c r="A54" s="692" t="str">
        <f>"Surrender EL 30Days on"</f>
        <v>Surrender EL 30Days on</v>
      </c>
      <c r="B54" s="693"/>
      <c r="C54" s="257"/>
      <c r="D54" s="263"/>
      <c r="E54" s="257"/>
      <c r="F54" s="257"/>
      <c r="G54" s="257"/>
      <c r="H54" s="258"/>
      <c r="I54" s="259"/>
      <c r="J54" s="257"/>
      <c r="K54" s="257"/>
      <c r="L54" s="257"/>
      <c r="M54" s="260"/>
      <c r="N54" s="261"/>
      <c r="O54" s="261"/>
      <c r="P54" s="258"/>
      <c r="Q54" s="258"/>
      <c r="R54" s="278"/>
    </row>
    <row r="55" spans="1:18" s="281" customFormat="1" ht="12.75" customHeight="1">
      <c r="A55" s="370">
        <v>40190</v>
      </c>
      <c r="B55" s="283" t="s">
        <v>268</v>
      </c>
      <c r="C55" s="280">
        <f aca="true" t="shared" si="36" ref="C55:R55">C42</f>
        <v>31</v>
      </c>
      <c r="D55" s="280">
        <f t="shared" si="36"/>
        <v>12910</v>
      </c>
      <c r="E55" s="280">
        <f t="shared" si="36"/>
        <v>3205</v>
      </c>
      <c r="F55" s="280">
        <f t="shared" si="36"/>
        <v>1614</v>
      </c>
      <c r="G55" s="280">
        <f t="shared" si="36"/>
        <v>150</v>
      </c>
      <c r="H55" s="280">
        <f t="shared" si="36"/>
        <v>17579</v>
      </c>
      <c r="I55" s="280">
        <f t="shared" si="36"/>
        <v>12550</v>
      </c>
      <c r="J55" s="280">
        <f t="shared" si="36"/>
        <v>3115</v>
      </c>
      <c r="K55" s="280">
        <f t="shared" si="36"/>
        <v>1569</v>
      </c>
      <c r="L55" s="280">
        <f t="shared" si="36"/>
        <v>150</v>
      </c>
      <c r="M55" s="288">
        <f t="shared" si="36"/>
        <v>17084</v>
      </c>
      <c r="N55" s="280">
        <f t="shared" si="36"/>
        <v>360</v>
      </c>
      <c r="O55" s="280">
        <f t="shared" si="36"/>
        <v>90</v>
      </c>
      <c r="P55" s="280">
        <f t="shared" si="36"/>
        <v>45</v>
      </c>
      <c r="Q55" s="280">
        <f t="shared" si="36"/>
        <v>0</v>
      </c>
      <c r="R55" s="280">
        <f t="shared" si="36"/>
        <v>495</v>
      </c>
    </row>
    <row r="56" spans="1:18" ht="21" customHeight="1">
      <c r="A56" s="690" t="s">
        <v>321</v>
      </c>
      <c r="B56" s="691"/>
      <c r="C56" s="691"/>
      <c r="D56" s="691"/>
      <c r="E56" s="691"/>
      <c r="F56" s="691"/>
      <c r="G56" s="691"/>
      <c r="H56" s="691"/>
      <c r="I56" s="691"/>
      <c r="J56" s="691"/>
      <c r="K56" s="691"/>
      <c r="L56" s="691"/>
      <c r="M56" s="691"/>
      <c r="N56" s="264">
        <f>SUM(N33:N55)</f>
        <v>3240</v>
      </c>
      <c r="O56" s="264">
        <f>SUM(O33:O55)</f>
        <v>864</v>
      </c>
      <c r="P56" s="264">
        <f>SUM(P33:P55)</f>
        <v>399</v>
      </c>
      <c r="Q56" s="264">
        <f>SUM(Q33:Q55)</f>
        <v>124</v>
      </c>
      <c r="R56" s="264">
        <f>SUM(R33:R55)</f>
        <v>4379</v>
      </c>
    </row>
    <row r="57" spans="1:18" ht="18" customHeight="1">
      <c r="A57" s="374"/>
      <c r="B57" s="363"/>
      <c r="C57" s="694" t="s">
        <v>99</v>
      </c>
      <c r="D57" s="694"/>
      <c r="E57" s="266">
        <f>R56</f>
        <v>4379</v>
      </c>
      <c r="F57" s="714" t="e">
        <f>[1]!rswords(E57)</f>
        <v>#NAME?</v>
      </c>
      <c r="G57" s="714"/>
      <c r="H57" s="714"/>
      <c r="I57" s="714"/>
      <c r="J57" s="714"/>
      <c r="K57" s="714"/>
      <c r="L57" s="714"/>
      <c r="M57" s="714"/>
      <c r="N57" s="714"/>
      <c r="O57" s="714"/>
      <c r="P57" s="714"/>
      <c r="Q57" s="265"/>
      <c r="R57" s="267"/>
    </row>
    <row r="58" spans="1:18" ht="27" customHeight="1">
      <c r="A58" s="193" t="s">
        <v>147</v>
      </c>
      <c r="B58" s="688" t="s">
        <v>225</v>
      </c>
      <c r="C58" s="688"/>
      <c r="D58" s="688"/>
      <c r="E58" s="688"/>
      <c r="F58" s="688"/>
      <c r="G58" s="688"/>
      <c r="H58" s="688"/>
      <c r="I58" s="688"/>
      <c r="J58" s="688"/>
      <c r="K58" s="688"/>
      <c r="L58" s="688"/>
      <c r="M58" s="688"/>
      <c r="N58" s="688"/>
      <c r="O58" s="688"/>
      <c r="P58" s="688"/>
      <c r="Q58" s="688"/>
      <c r="R58" s="689"/>
    </row>
    <row r="59" spans="1:18" ht="25.5" customHeight="1">
      <c r="A59" s="707"/>
      <c r="B59" s="688" t="s">
        <v>148</v>
      </c>
      <c r="C59" s="688"/>
      <c r="D59" s="688"/>
      <c r="E59" s="688"/>
      <c r="F59" s="688"/>
      <c r="G59" s="688"/>
      <c r="H59" s="688"/>
      <c r="I59" s="688"/>
      <c r="J59" s="688"/>
      <c r="K59" s="688"/>
      <c r="L59" s="688"/>
      <c r="M59" s="688"/>
      <c r="N59" s="688"/>
      <c r="O59" s="688"/>
      <c r="P59" s="688"/>
      <c r="Q59" s="688"/>
      <c r="R59" s="689"/>
    </row>
    <row r="60" spans="1:18" ht="18.75" customHeight="1">
      <c r="A60" s="708"/>
      <c r="B60" s="705" t="s">
        <v>149</v>
      </c>
      <c r="C60" s="705"/>
      <c r="D60" s="705"/>
      <c r="E60" s="705"/>
      <c r="F60" s="705"/>
      <c r="G60" s="705"/>
      <c r="H60" s="705"/>
      <c r="I60" s="705"/>
      <c r="J60" s="705"/>
      <c r="K60" s="705"/>
      <c r="L60" s="705"/>
      <c r="M60" s="705"/>
      <c r="N60" s="705"/>
      <c r="O60" s="705"/>
      <c r="P60" s="705"/>
      <c r="Q60" s="705"/>
      <c r="R60" s="706"/>
    </row>
    <row r="61" spans="1:2" ht="12.75">
      <c r="A61" s="375" t="s">
        <v>267</v>
      </c>
      <c r="B61" s="16" t="s">
        <v>324</v>
      </c>
    </row>
    <row r="62" ht="12.75">
      <c r="B62" s="16" t="s">
        <v>322</v>
      </c>
    </row>
    <row r="63" ht="12.75">
      <c r="B63" s="16" t="s">
        <v>323</v>
      </c>
    </row>
  </sheetData>
  <sheetProtection/>
  <mergeCells count="24">
    <mergeCell ref="A1:R1"/>
    <mergeCell ref="C31:C32"/>
    <mergeCell ref="D31:H31"/>
    <mergeCell ref="I31:M31"/>
    <mergeCell ref="N31:R31"/>
    <mergeCell ref="I2:M2"/>
    <mergeCell ref="B60:R60"/>
    <mergeCell ref="A59:A60"/>
    <mergeCell ref="A2:B2"/>
    <mergeCell ref="C2:C3"/>
    <mergeCell ref="D2:H2"/>
    <mergeCell ref="B58:R58"/>
    <mergeCell ref="A26:R26"/>
    <mergeCell ref="A27:K27"/>
    <mergeCell ref="F57:P57"/>
    <mergeCell ref="A31:B31"/>
    <mergeCell ref="B59:R59"/>
    <mergeCell ref="A56:M56"/>
    <mergeCell ref="A54:B54"/>
    <mergeCell ref="C57:D57"/>
    <mergeCell ref="N2:R2"/>
    <mergeCell ref="A28:R28"/>
    <mergeCell ref="A30:R30"/>
    <mergeCell ref="A25:M25"/>
  </mergeCells>
  <printOptions/>
  <pageMargins left="1" right="1" top="0.75" bottom="0.5"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7"/>
  <dimension ref="A1:Q60"/>
  <sheetViews>
    <sheetView zoomScalePageLayoutView="0" workbookViewId="0" topLeftCell="A25">
      <selection activeCell="B24" sqref="B24"/>
    </sheetView>
  </sheetViews>
  <sheetFormatPr defaultColWidth="9.140625" defaultRowHeight="12.75"/>
  <cols>
    <col min="1" max="1" width="4.7109375" style="0" customWidth="1"/>
    <col min="3" max="3" width="10.7109375" style="0" customWidth="1"/>
    <col min="4" max="4" width="12.140625" style="0" customWidth="1"/>
    <col min="5" max="6" width="13.7109375" style="0" customWidth="1"/>
    <col min="7" max="7" width="27.28125" style="0" customWidth="1"/>
  </cols>
  <sheetData>
    <row r="1" spans="1:9" ht="12.75">
      <c r="A1" s="719">
        <v>2</v>
      </c>
      <c r="B1" s="719"/>
      <c r="C1" s="719"/>
      <c r="D1" s="719"/>
      <c r="E1" s="719"/>
      <c r="F1" s="719"/>
      <c r="G1" s="719"/>
      <c r="H1" s="85"/>
      <c r="I1" s="85"/>
    </row>
    <row r="2" spans="1:9" ht="18">
      <c r="A2" s="655" t="s">
        <v>123</v>
      </c>
      <c r="B2" s="655"/>
      <c r="C2" s="655"/>
      <c r="D2" s="655"/>
      <c r="E2" s="655"/>
      <c r="F2" s="655"/>
      <c r="G2" s="655"/>
      <c r="H2" s="86"/>
      <c r="I2" s="86"/>
    </row>
    <row r="3" spans="1:9" ht="18">
      <c r="A3" s="82"/>
      <c r="B3" s="82"/>
      <c r="C3" s="82"/>
      <c r="D3" s="82"/>
      <c r="E3" s="82"/>
      <c r="F3" s="82"/>
      <c r="G3" s="82"/>
      <c r="H3" s="86"/>
      <c r="I3" s="86"/>
    </row>
    <row r="4" spans="1:9" ht="19.5" customHeight="1">
      <c r="A4" s="4">
        <v>1</v>
      </c>
      <c r="B4" s="4" t="s">
        <v>531</v>
      </c>
      <c r="C4" s="4"/>
      <c r="D4" s="4"/>
      <c r="E4" s="4"/>
      <c r="F4" s="11" t="s">
        <v>29</v>
      </c>
      <c r="G4" s="87"/>
      <c r="H4" s="83"/>
      <c r="I4" s="84"/>
    </row>
    <row r="5" spans="1:9" ht="19.5" customHeight="1">
      <c r="A5" s="4">
        <v>2</v>
      </c>
      <c r="B5" s="4" t="s">
        <v>67</v>
      </c>
      <c r="C5" s="4"/>
      <c r="D5" s="4"/>
      <c r="E5" s="4"/>
      <c r="F5" s="11" t="s">
        <v>29</v>
      </c>
      <c r="G5" s="88"/>
      <c r="H5" s="83"/>
      <c r="I5" s="84"/>
    </row>
    <row r="6" spans="1:9" ht="19.5" customHeight="1">
      <c r="A6" s="4">
        <v>3</v>
      </c>
      <c r="B6" s="4" t="s">
        <v>68</v>
      </c>
      <c r="C6" s="4"/>
      <c r="D6" s="4"/>
      <c r="E6" s="4"/>
      <c r="F6" s="11" t="s">
        <v>29</v>
      </c>
      <c r="G6" s="89"/>
      <c r="H6" s="83"/>
      <c r="I6" s="84"/>
    </row>
    <row r="7" spans="1:9" ht="12.75">
      <c r="A7" s="4"/>
      <c r="B7" s="40"/>
      <c r="C7" s="6"/>
      <c r="D7" s="6"/>
      <c r="E7" s="6"/>
      <c r="F7" s="6"/>
      <c r="G7" s="13"/>
      <c r="H7" s="83"/>
      <c r="I7" s="84"/>
    </row>
    <row r="8" spans="1:9" ht="12.75">
      <c r="A8" s="4"/>
      <c r="B8" s="10"/>
      <c r="C8" s="13"/>
      <c r="D8" s="13"/>
      <c r="E8" s="13"/>
      <c r="F8" s="6"/>
      <c r="G8" s="13"/>
      <c r="H8" s="83"/>
      <c r="I8" s="84"/>
    </row>
    <row r="9" spans="1:9" ht="6" customHeight="1">
      <c r="A9" s="4"/>
      <c r="B9" s="4"/>
      <c r="C9" s="4"/>
      <c r="D9" s="4"/>
      <c r="E9" s="4"/>
      <c r="F9" s="11"/>
      <c r="G9" s="83"/>
      <c r="H9" s="83"/>
      <c r="I9" s="84"/>
    </row>
    <row r="10" spans="1:9" ht="40.5" customHeight="1">
      <c r="A10" s="83"/>
      <c r="B10" s="83"/>
      <c r="C10" s="83"/>
      <c r="D10" s="83"/>
      <c r="E10" s="83"/>
      <c r="F10" s="90"/>
      <c r="G10" s="81" t="str">
        <f>CONCATENATE("Mandal Educational Officer,
",SH!E6," Mandal, Visakhapatnam Dt.")</f>
        <v>Mandal Educational Officer,
PEDAPADU Mandal, Visakhapatnam Dt.</v>
      </c>
      <c r="H10" s="6"/>
      <c r="I10" s="6"/>
    </row>
    <row r="11" spans="1:9" ht="12.75">
      <c r="A11" s="83"/>
      <c r="B11" s="83"/>
      <c r="C11" s="83"/>
      <c r="D11" s="83"/>
      <c r="E11" s="83"/>
      <c r="F11" s="90"/>
      <c r="G11" s="83"/>
      <c r="H11" s="83"/>
      <c r="I11" s="84"/>
    </row>
    <row r="12" spans="1:9" ht="14.25" customHeight="1">
      <c r="A12" s="83"/>
      <c r="B12" s="50" t="s">
        <v>92</v>
      </c>
      <c r="C12" s="91">
        <f>bill2!E57</f>
        <v>4379</v>
      </c>
      <c r="D12" s="654" t="e">
        <f>bill2!F57</f>
        <v>#NAME?</v>
      </c>
      <c r="E12" s="654"/>
      <c r="F12" s="654"/>
      <c r="G12" s="654"/>
      <c r="H12" s="92"/>
      <c r="I12" s="92"/>
    </row>
    <row r="13" spans="1:9" ht="14.25">
      <c r="A13" s="83"/>
      <c r="B13" s="653" t="s">
        <v>93</v>
      </c>
      <c r="C13" s="653"/>
      <c r="D13" s="653"/>
      <c r="E13" s="653"/>
      <c r="F13" s="653"/>
      <c r="G13" s="653"/>
      <c r="H13" s="653"/>
      <c r="I13" s="51"/>
    </row>
    <row r="14" spans="1:9" ht="12.75">
      <c r="A14" s="83"/>
      <c r="B14" s="638" t="s">
        <v>69</v>
      </c>
      <c r="C14" s="638"/>
      <c r="D14" s="638"/>
      <c r="E14" s="13"/>
      <c r="F14" s="90"/>
      <c r="G14" s="83"/>
      <c r="H14" s="83"/>
      <c r="I14" s="84"/>
    </row>
    <row r="15" spans="1:9" ht="12.75">
      <c r="A15" s="83"/>
      <c r="B15" s="83"/>
      <c r="C15" s="83"/>
      <c r="D15" s="83"/>
      <c r="E15" s="83"/>
      <c r="F15" s="90"/>
      <c r="G15" s="22"/>
      <c r="H15" s="6"/>
      <c r="I15" s="13"/>
    </row>
    <row r="16" spans="1:9" ht="47.25" customHeight="1">
      <c r="A16" s="83"/>
      <c r="B16" s="659" t="str">
        <f>G10</f>
        <v>Mandal Educational Officer,
PEDAPADU Mandal, Visakhapatnam Dt.</v>
      </c>
      <c r="C16" s="659"/>
      <c r="D16" s="659"/>
      <c r="E16" s="93"/>
      <c r="F16" s="90"/>
      <c r="G16" s="477" t="str">
        <f>G10</f>
        <v>Mandal Educational Officer,
PEDAPADU Mandal, Visakhapatnam Dt.</v>
      </c>
      <c r="H16" s="6"/>
      <c r="I16" s="6"/>
    </row>
    <row r="17" spans="1:9" ht="18">
      <c r="A17" s="718" t="s">
        <v>70</v>
      </c>
      <c r="B17" s="718"/>
      <c r="C17" s="718"/>
      <c r="D17" s="718"/>
      <c r="E17" s="718"/>
      <c r="F17" s="718"/>
      <c r="G17" s="718"/>
      <c r="H17" s="94"/>
      <c r="I17" s="94"/>
    </row>
    <row r="18" spans="1:9" ht="15">
      <c r="A18" s="83"/>
      <c r="B18" s="76" t="s">
        <v>119</v>
      </c>
      <c r="C18" s="83"/>
      <c r="D18" s="83"/>
      <c r="E18" s="83"/>
      <c r="F18" s="90"/>
      <c r="G18" s="83"/>
      <c r="H18" s="83"/>
      <c r="I18" s="84"/>
    </row>
    <row r="19" spans="2:17" s="2" customFormat="1" ht="15">
      <c r="B19" s="102" t="s">
        <v>137</v>
      </c>
      <c r="N19" s="30"/>
      <c r="Q19" s="1"/>
    </row>
    <row r="20" spans="2:17" s="2" customFormat="1" ht="15">
      <c r="B20" s="102" t="s">
        <v>211</v>
      </c>
      <c r="Q20" s="1"/>
    </row>
    <row r="21" spans="2:17" s="2" customFormat="1" ht="15">
      <c r="B21" s="102" t="s">
        <v>209</v>
      </c>
      <c r="N21" s="30"/>
      <c r="Q21" s="1"/>
    </row>
    <row r="22" spans="2:17" s="2" customFormat="1" ht="15">
      <c r="B22" s="102" t="s">
        <v>210</v>
      </c>
      <c r="N22" s="30"/>
      <c r="Q22" s="1"/>
    </row>
    <row r="23" spans="2:17" s="2" customFormat="1" ht="15">
      <c r="B23" s="102" t="str">
        <f>CONCATENATE("6. This Office Progs.Rc.No.",SH!E11,"     dated:",SH!E12,"")</f>
        <v>6. This Office Progs.Rc.No.     dated:27/10/2011</v>
      </c>
      <c r="N23" s="30"/>
      <c r="Q23" s="1"/>
    </row>
    <row r="24" spans="2:17" s="2" customFormat="1" ht="12.75">
      <c r="B24" s="3" t="s">
        <v>138</v>
      </c>
      <c r="N24" s="30"/>
      <c r="Q24" s="1"/>
    </row>
    <row r="25" spans="1:9" ht="26.25" customHeight="1">
      <c r="A25" s="83"/>
      <c r="B25" s="83"/>
      <c r="C25" s="83"/>
      <c r="D25" s="83"/>
      <c r="E25" s="83"/>
      <c r="F25" s="90"/>
      <c r="G25" s="83"/>
      <c r="H25" s="83"/>
      <c r="I25" s="84"/>
    </row>
    <row r="26" spans="1:9" ht="62.25" customHeight="1">
      <c r="A26" s="83"/>
      <c r="B26" s="83"/>
      <c r="C26" s="83"/>
      <c r="D26" s="83"/>
      <c r="E26" s="83"/>
      <c r="F26" s="90"/>
      <c r="G26" s="81" t="str">
        <f>G10</f>
        <v>Mandal Educational Officer,
PEDAPADU Mandal, Visakhapatnam Dt.</v>
      </c>
      <c r="H26" s="6"/>
      <c r="I26" s="6"/>
    </row>
    <row r="27" spans="1:9" ht="15">
      <c r="A27" s="650" t="s">
        <v>71</v>
      </c>
      <c r="B27" s="650"/>
      <c r="C27" s="650"/>
      <c r="D27" s="650"/>
      <c r="E27" s="650"/>
      <c r="F27" s="650"/>
      <c r="G27" s="650"/>
      <c r="H27" s="95"/>
      <c r="I27" s="95"/>
    </row>
    <row r="28" spans="1:9" ht="12.75">
      <c r="A28" s="83"/>
      <c r="B28" s="83"/>
      <c r="C28" s="83"/>
      <c r="D28" s="83"/>
      <c r="E28" s="83"/>
      <c r="F28" s="90"/>
      <c r="G28" s="83"/>
      <c r="H28" s="83"/>
      <c r="I28" s="84"/>
    </row>
    <row r="29" spans="1:9" ht="12.75">
      <c r="A29" s="83"/>
      <c r="B29" s="83"/>
      <c r="C29" s="83"/>
      <c r="D29" s="83"/>
      <c r="E29" s="83"/>
      <c r="F29" s="90"/>
      <c r="G29" s="83"/>
      <c r="H29" s="83"/>
      <c r="I29" s="84"/>
    </row>
    <row r="30" spans="1:9" ht="12.75">
      <c r="A30" s="83"/>
      <c r="B30" s="83"/>
      <c r="C30" s="83"/>
      <c r="D30" s="83"/>
      <c r="E30" s="83"/>
      <c r="F30" s="90"/>
      <c r="G30" s="83"/>
      <c r="H30" s="83"/>
      <c r="I30" s="84"/>
    </row>
    <row r="31" spans="1:9" ht="12.75">
      <c r="A31" s="83"/>
      <c r="B31" s="83"/>
      <c r="C31" s="83"/>
      <c r="D31" s="83"/>
      <c r="E31" s="83"/>
      <c r="F31" s="90"/>
      <c r="G31" s="83"/>
      <c r="H31" s="83"/>
      <c r="I31" s="84"/>
    </row>
    <row r="32" spans="1:9" ht="12.75">
      <c r="A32" s="83"/>
      <c r="B32" s="83"/>
      <c r="C32" s="83"/>
      <c r="D32" s="83"/>
      <c r="E32" s="83"/>
      <c r="F32" s="90"/>
      <c r="G32" s="83"/>
      <c r="H32" s="83"/>
      <c r="I32" s="84"/>
    </row>
    <row r="33" spans="1:9" ht="12.75">
      <c r="A33" s="83"/>
      <c r="B33" s="83"/>
      <c r="C33" s="83"/>
      <c r="D33" s="83"/>
      <c r="E33" s="83"/>
      <c r="F33" s="90"/>
      <c r="G33" s="83"/>
      <c r="H33" s="83"/>
      <c r="I33" s="84"/>
    </row>
    <row r="34" spans="1:9" ht="12.75">
      <c r="A34" s="83"/>
      <c r="B34" s="83"/>
      <c r="C34" s="83"/>
      <c r="D34" s="83"/>
      <c r="E34" s="83"/>
      <c r="F34" s="90"/>
      <c r="G34" s="83"/>
      <c r="H34" s="83"/>
      <c r="I34" s="84"/>
    </row>
    <row r="35" spans="1:9" ht="12.75">
      <c r="A35" s="83"/>
      <c r="B35" s="83"/>
      <c r="C35" s="83"/>
      <c r="D35" s="83"/>
      <c r="E35" s="83"/>
      <c r="F35" s="90"/>
      <c r="G35" s="83"/>
      <c r="H35" s="83"/>
      <c r="I35" s="84"/>
    </row>
    <row r="36" spans="1:9" ht="12.75">
      <c r="A36" s="83"/>
      <c r="B36" s="83"/>
      <c r="C36" s="83"/>
      <c r="D36" s="83"/>
      <c r="E36" s="83"/>
      <c r="F36" s="90"/>
      <c r="G36" s="83"/>
      <c r="H36" s="83"/>
      <c r="I36" s="84"/>
    </row>
    <row r="37" spans="1:9" ht="12.75">
      <c r="A37" s="83"/>
      <c r="B37" s="83"/>
      <c r="C37" s="83"/>
      <c r="D37" s="83"/>
      <c r="E37" s="83"/>
      <c r="F37" s="90"/>
      <c r="G37" s="83"/>
      <c r="H37" s="83"/>
      <c r="I37" s="84"/>
    </row>
    <row r="38" spans="1:9" ht="12.75">
      <c r="A38" s="83"/>
      <c r="B38" s="83"/>
      <c r="C38" s="83"/>
      <c r="D38" s="83"/>
      <c r="E38" s="83"/>
      <c r="F38" s="90"/>
      <c r="G38" s="83"/>
      <c r="H38" s="83"/>
      <c r="I38" s="84"/>
    </row>
    <row r="39" spans="1:9" ht="12.75">
      <c r="A39" s="83"/>
      <c r="B39" s="83"/>
      <c r="C39" s="83"/>
      <c r="D39" s="83"/>
      <c r="E39" s="83"/>
      <c r="F39" s="90"/>
      <c r="G39" s="83"/>
      <c r="H39" s="83"/>
      <c r="I39" s="84"/>
    </row>
    <row r="40" spans="1:9" ht="12.75">
      <c r="A40" s="83"/>
      <c r="B40" s="83"/>
      <c r="C40" s="83"/>
      <c r="D40" s="83"/>
      <c r="E40" s="83"/>
      <c r="F40" s="90"/>
      <c r="G40" s="83"/>
      <c r="H40" s="83"/>
      <c r="I40" s="84"/>
    </row>
    <row r="41" spans="1:9" ht="12.75">
      <c r="A41" s="83"/>
      <c r="B41" s="83"/>
      <c r="C41" s="83"/>
      <c r="D41" s="83"/>
      <c r="E41" s="83"/>
      <c r="F41" s="90"/>
      <c r="G41" s="83"/>
      <c r="H41" s="83"/>
      <c r="I41" s="84"/>
    </row>
    <row r="42" spans="1:9" ht="12.75">
      <c r="A42" s="83"/>
      <c r="B42" s="83"/>
      <c r="C42" s="83"/>
      <c r="D42" s="83"/>
      <c r="E42" s="83"/>
      <c r="F42" s="90"/>
      <c r="G42" s="83"/>
      <c r="H42" s="83"/>
      <c r="I42" s="84"/>
    </row>
    <row r="43" spans="1:9" ht="15.75">
      <c r="A43" s="83"/>
      <c r="B43" s="33"/>
      <c r="C43" s="33"/>
      <c r="D43" s="33"/>
      <c r="E43" s="33"/>
      <c r="F43" s="33"/>
      <c r="G43" s="33"/>
      <c r="H43" s="83"/>
      <c r="I43" s="84"/>
    </row>
    <row r="44" spans="1:9" ht="15.75">
      <c r="A44" s="83"/>
      <c r="B44" s="33"/>
      <c r="C44" s="33"/>
      <c r="D44" s="33"/>
      <c r="E44" s="33"/>
      <c r="F44" s="90"/>
      <c r="G44" s="83"/>
      <c r="H44" s="83"/>
      <c r="I44" s="84"/>
    </row>
    <row r="45" spans="1:9" ht="15.75">
      <c r="A45" s="83"/>
      <c r="B45" s="33"/>
      <c r="C45" s="33"/>
      <c r="D45" s="33"/>
      <c r="E45" s="33"/>
      <c r="F45" s="33"/>
      <c r="G45" s="33"/>
      <c r="H45" s="83"/>
      <c r="I45" s="84"/>
    </row>
    <row r="46" spans="1:9" ht="15.75">
      <c r="A46" s="83"/>
      <c r="B46" s="33"/>
      <c r="C46" s="33"/>
      <c r="D46" s="33"/>
      <c r="E46" s="33"/>
      <c r="F46" s="33"/>
      <c r="G46" s="33"/>
      <c r="H46" s="83"/>
      <c r="I46" s="84"/>
    </row>
    <row r="47" spans="1:9" ht="15.75">
      <c r="A47" s="83"/>
      <c r="B47" s="33"/>
      <c r="C47" s="33"/>
      <c r="D47" s="33"/>
      <c r="E47" s="33"/>
      <c r="F47" s="33"/>
      <c r="G47" s="33"/>
      <c r="H47" s="83"/>
      <c r="I47" s="84"/>
    </row>
    <row r="48" spans="1:9" ht="15.75">
      <c r="A48" s="83"/>
      <c r="B48" s="33"/>
      <c r="C48" s="33"/>
      <c r="D48" s="33"/>
      <c r="E48" s="33"/>
      <c r="F48" s="33"/>
      <c r="G48" s="33"/>
      <c r="H48" s="83"/>
      <c r="I48" s="84"/>
    </row>
    <row r="49" spans="1:9" ht="15.75">
      <c r="A49" s="83"/>
      <c r="B49" s="33"/>
      <c r="C49" s="33"/>
      <c r="D49" s="33"/>
      <c r="E49" s="33"/>
      <c r="F49" s="33"/>
      <c r="G49" s="33"/>
      <c r="H49" s="83"/>
      <c r="I49" s="84"/>
    </row>
    <row r="50" spans="1:9" ht="15.75">
      <c r="A50" s="83"/>
      <c r="B50" s="33"/>
      <c r="C50" s="33"/>
      <c r="D50" s="33"/>
      <c r="E50" s="33"/>
      <c r="F50" s="90"/>
      <c r="G50" s="83"/>
      <c r="H50" s="83"/>
      <c r="I50" s="84"/>
    </row>
    <row r="51" spans="1:9" ht="12.75">
      <c r="A51" s="83"/>
      <c r="B51" s="83"/>
      <c r="C51" s="83"/>
      <c r="D51" s="83"/>
      <c r="E51" s="83"/>
      <c r="F51" s="90"/>
      <c r="G51" s="83"/>
      <c r="H51" s="83"/>
      <c r="I51" s="84"/>
    </row>
    <row r="52" spans="1:9" ht="12.75">
      <c r="A52" s="83"/>
      <c r="B52" s="83"/>
      <c r="C52" s="83"/>
      <c r="D52" s="83"/>
      <c r="E52" s="83"/>
      <c r="F52" s="90"/>
      <c r="G52" s="83"/>
      <c r="H52" s="83"/>
      <c r="I52" s="84"/>
    </row>
    <row r="53" spans="1:9" ht="12.75">
      <c r="A53" s="83"/>
      <c r="B53" s="83"/>
      <c r="C53" s="83"/>
      <c r="D53" s="83"/>
      <c r="E53" s="83"/>
      <c r="F53" s="90"/>
      <c r="G53" s="83"/>
      <c r="H53" s="83"/>
      <c r="I53" s="84"/>
    </row>
    <row r="54" spans="1:9" ht="12.75">
      <c r="A54" s="83"/>
      <c r="B54" s="83"/>
      <c r="C54" s="83"/>
      <c r="D54" s="83"/>
      <c r="E54" s="83"/>
      <c r="F54" s="90"/>
      <c r="G54" s="83"/>
      <c r="H54" s="83"/>
      <c r="I54" s="84"/>
    </row>
    <row r="55" spans="1:9" ht="12.75">
      <c r="A55" s="83"/>
      <c r="B55" s="83"/>
      <c r="C55" s="83"/>
      <c r="D55" s="83"/>
      <c r="E55" s="83"/>
      <c r="F55" s="90"/>
      <c r="G55" s="83"/>
      <c r="H55" s="83"/>
      <c r="I55" s="84"/>
    </row>
    <row r="56" spans="1:9" ht="12.75">
      <c r="A56" s="83"/>
      <c r="B56" s="83"/>
      <c r="C56" s="83"/>
      <c r="D56" s="83"/>
      <c r="E56" s="83"/>
      <c r="F56" s="90"/>
      <c r="G56" s="83"/>
      <c r="H56" s="83"/>
      <c r="I56" s="84"/>
    </row>
    <row r="57" spans="1:9" ht="12.75">
      <c r="A57" s="83"/>
      <c r="B57" s="83"/>
      <c r="C57" s="83"/>
      <c r="D57" s="83"/>
      <c r="E57" s="83"/>
      <c r="F57" s="90"/>
      <c r="G57" s="83"/>
      <c r="H57" s="83"/>
      <c r="I57" s="84"/>
    </row>
    <row r="58" spans="1:9" ht="12.75">
      <c r="A58" s="83"/>
      <c r="B58" s="83"/>
      <c r="C58" s="83"/>
      <c r="D58" s="83"/>
      <c r="E58" s="83"/>
      <c r="F58" s="90"/>
      <c r="G58" s="83"/>
      <c r="H58" s="83"/>
      <c r="I58" s="84"/>
    </row>
    <row r="59" spans="1:9" ht="12.75">
      <c r="A59" s="83"/>
      <c r="B59" s="83"/>
      <c r="C59" s="83"/>
      <c r="D59" s="83"/>
      <c r="E59" s="83"/>
      <c r="F59" s="90"/>
      <c r="G59" s="83"/>
      <c r="H59" s="83"/>
      <c r="I59" s="84"/>
    </row>
    <row r="60" spans="1:9" ht="12.75">
      <c r="A60" s="83"/>
      <c r="B60" s="83"/>
      <c r="C60" s="83"/>
      <c r="D60" s="83"/>
      <c r="E60" s="83"/>
      <c r="F60" s="90"/>
      <c r="G60" s="83"/>
      <c r="H60" s="83"/>
      <c r="I60" s="84"/>
    </row>
  </sheetData>
  <sheetProtection/>
  <mergeCells count="8">
    <mergeCell ref="A17:G17"/>
    <mergeCell ref="A27:G27"/>
    <mergeCell ref="A1:G1"/>
    <mergeCell ref="A2:G2"/>
    <mergeCell ref="D12:G12"/>
    <mergeCell ref="B13:H13"/>
    <mergeCell ref="B14:D14"/>
    <mergeCell ref="B16:D16"/>
  </mergeCells>
  <printOptions/>
  <pageMargins left="0.5" right="0.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I12"/>
  <sheetViews>
    <sheetView zoomScalePageLayoutView="0" workbookViewId="0" topLeftCell="A1">
      <selection activeCell="B10" sqref="B10"/>
    </sheetView>
  </sheetViews>
  <sheetFormatPr defaultColWidth="9.140625" defaultRowHeight="12.75"/>
  <cols>
    <col min="1" max="1" width="7.00390625" style="15" customWidth="1"/>
    <col min="2" max="2" width="11.28125" style="20" customWidth="1"/>
    <col min="3" max="3" width="24.00390625" style="20" customWidth="1"/>
    <col min="4" max="4" width="22.140625" style="15" customWidth="1"/>
    <col min="5" max="5" width="12.8515625" style="16" customWidth="1"/>
    <col min="6" max="16384" width="9.140625" style="15" customWidth="1"/>
  </cols>
  <sheetData>
    <row r="1" spans="1:5" s="14" customFormat="1" ht="18">
      <c r="A1" s="722" t="s">
        <v>95</v>
      </c>
      <c r="B1" s="723"/>
      <c r="C1" s="723"/>
      <c r="D1" s="723"/>
      <c r="E1" s="724"/>
    </row>
    <row r="2" spans="1:5" ht="12.75" customHeight="1">
      <c r="A2" s="725" t="s">
        <v>96</v>
      </c>
      <c r="B2" s="726"/>
      <c r="C2" s="726"/>
      <c r="D2" s="726"/>
      <c r="E2" s="727"/>
    </row>
    <row r="3" spans="1:5" ht="12.75" customHeight="1">
      <c r="A3" s="725" t="s">
        <v>97</v>
      </c>
      <c r="B3" s="726"/>
      <c r="C3" s="726"/>
      <c r="D3" s="726"/>
      <c r="E3" s="727"/>
    </row>
    <row r="4" spans="1:5" ht="19.5" customHeight="1" thickBot="1">
      <c r="A4" s="684" t="s">
        <v>228</v>
      </c>
      <c r="B4" s="684"/>
      <c r="C4" s="684"/>
      <c r="D4" s="684"/>
      <c r="E4" s="170">
        <v>40787</v>
      </c>
    </row>
    <row r="5" spans="1:5" ht="19.5" customHeight="1" thickBot="1">
      <c r="A5" s="291" t="s">
        <v>271</v>
      </c>
      <c r="B5" s="144"/>
      <c r="C5" s="302">
        <v>2022202142</v>
      </c>
      <c r="D5" s="344" t="s">
        <v>310</v>
      </c>
      <c r="E5" s="342"/>
    </row>
    <row r="6" spans="1:5" ht="19.5" customHeight="1">
      <c r="A6" s="291" t="s">
        <v>230</v>
      </c>
      <c r="B6" s="341"/>
      <c r="C6" s="341" t="s">
        <v>18</v>
      </c>
      <c r="D6" s="341"/>
      <c r="E6" s="341"/>
    </row>
    <row r="7" spans="1:7" ht="30" customHeight="1">
      <c r="A7" s="53" t="s">
        <v>72</v>
      </c>
      <c r="B7" s="53" t="s">
        <v>100</v>
      </c>
      <c r="C7" s="8" t="s">
        <v>101</v>
      </c>
      <c r="D7" s="53" t="s">
        <v>98</v>
      </c>
      <c r="E7" s="53" t="s">
        <v>94</v>
      </c>
      <c r="F7" s="343"/>
      <c r="G7" s="343"/>
    </row>
    <row r="8" spans="1:7" ht="49.5" customHeight="1">
      <c r="A8" s="8">
        <v>1</v>
      </c>
      <c r="B8" s="8"/>
      <c r="C8" s="54" t="s">
        <v>215</v>
      </c>
      <c r="D8" s="165"/>
      <c r="E8" s="151">
        <f>bill2!E57</f>
        <v>4379</v>
      </c>
      <c r="F8" s="5"/>
      <c r="G8" s="5"/>
    </row>
    <row r="9" spans="1:7" s="17" customFormat="1" ht="24.75" customHeight="1">
      <c r="A9" s="672" t="s">
        <v>79</v>
      </c>
      <c r="B9" s="672"/>
      <c r="C9" s="672"/>
      <c r="D9" s="672"/>
      <c r="E9" s="151">
        <f>SUM(E8:E8)</f>
        <v>4379</v>
      </c>
      <c r="G9" s="18"/>
    </row>
    <row r="10" spans="1:9" s="16" customFormat="1" ht="24.75" customHeight="1">
      <c r="A10" s="57"/>
      <c r="B10" s="205" t="e">
        <f>bill2!F57</f>
        <v>#NAME?</v>
      </c>
      <c r="D10" s="58"/>
      <c r="E10" s="58"/>
      <c r="I10" s="19"/>
    </row>
    <row r="11" spans="1:6" ht="75" customHeight="1">
      <c r="A11" s="59"/>
      <c r="B11" s="720" t="s">
        <v>226</v>
      </c>
      <c r="C11" s="720"/>
      <c r="D11" s="721" t="s">
        <v>102</v>
      </c>
      <c r="E11" s="721"/>
      <c r="F11" s="16"/>
    </row>
    <row r="12" ht="99.75" customHeight="1">
      <c r="D12" s="21"/>
    </row>
  </sheetData>
  <sheetProtection/>
  <mergeCells count="7">
    <mergeCell ref="A9:D9"/>
    <mergeCell ref="B11:C11"/>
    <mergeCell ref="D11:E11"/>
    <mergeCell ref="A1:E1"/>
    <mergeCell ref="A2:E2"/>
    <mergeCell ref="A3:E3"/>
    <mergeCell ref="A4:D4"/>
  </mergeCells>
  <printOptions horizontalCentered="1"/>
  <pageMargins left="1" right="1"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1:BT32"/>
  <sheetViews>
    <sheetView zoomScalePageLayoutView="0" workbookViewId="0" topLeftCell="D40">
      <selection activeCell="A2" sqref="A2:L5"/>
    </sheetView>
  </sheetViews>
  <sheetFormatPr defaultColWidth="9.140625" defaultRowHeight="12.75"/>
  <cols>
    <col min="1" max="1" width="5.28125" style="0" customWidth="1"/>
    <col min="2" max="2" width="14.8515625" style="0" customWidth="1"/>
    <col min="3" max="3" width="6.421875" style="0" customWidth="1"/>
    <col min="4" max="4" width="12.00390625" style="0" customWidth="1"/>
    <col min="6" max="6" width="6.7109375" style="203" customWidth="1"/>
    <col min="7" max="7" width="8.7109375" style="0" customWidth="1"/>
    <col min="9" max="9" width="14.00390625" style="0" customWidth="1"/>
    <col min="10" max="10" width="7.8515625" style="0" customWidth="1"/>
    <col min="11" max="11" width="14.7109375" style="0" customWidth="1"/>
    <col min="12" max="12" width="12.140625" style="0" customWidth="1"/>
  </cols>
  <sheetData>
    <row r="1" spans="1:12" ht="24" customHeight="1">
      <c r="A1" s="728" t="str">
        <f>CONCATENATE("PERIODICAL INCREMENT CERTIFICATE OF THE …M.P., ",SH!E6,"( Teaching).. ESTABLISHMENT")</f>
        <v>PERIODICAL INCREMENT CERTIFICATE OF THE …M.P., PEDAPADU( Teaching).. ESTABLISHMENT</v>
      </c>
      <c r="B1" s="729"/>
      <c r="C1" s="729"/>
      <c r="D1" s="729"/>
      <c r="E1" s="729"/>
      <c r="F1" s="729"/>
      <c r="G1" s="729"/>
      <c r="H1" s="729"/>
      <c r="I1" s="729"/>
      <c r="J1" s="729"/>
      <c r="K1" s="729"/>
      <c r="L1" s="730"/>
    </row>
    <row r="2" spans="1:15" ht="12.75" customHeight="1">
      <c r="A2" s="731" t="s">
        <v>246</v>
      </c>
      <c r="B2" s="732"/>
      <c r="C2" s="732"/>
      <c r="D2" s="732"/>
      <c r="E2" s="732"/>
      <c r="F2" s="732"/>
      <c r="G2" s="732"/>
      <c r="H2" s="732"/>
      <c r="I2" s="732"/>
      <c r="J2" s="732"/>
      <c r="K2" s="732"/>
      <c r="L2" s="733"/>
      <c r="N2" s="208"/>
      <c r="O2" s="208"/>
    </row>
    <row r="3" spans="1:15" ht="15" customHeight="1">
      <c r="A3" s="731"/>
      <c r="B3" s="732"/>
      <c r="C3" s="732"/>
      <c r="D3" s="732"/>
      <c r="E3" s="732"/>
      <c r="F3" s="732"/>
      <c r="G3" s="732"/>
      <c r="H3" s="732"/>
      <c r="I3" s="732"/>
      <c r="J3" s="732"/>
      <c r="K3" s="732"/>
      <c r="L3" s="733"/>
      <c r="N3" s="208"/>
      <c r="O3" s="208"/>
    </row>
    <row r="4" spans="1:15" ht="7.5" customHeight="1">
      <c r="A4" s="731"/>
      <c r="B4" s="732"/>
      <c r="C4" s="732"/>
      <c r="D4" s="732"/>
      <c r="E4" s="732"/>
      <c r="F4" s="732"/>
      <c r="G4" s="732"/>
      <c r="H4" s="732"/>
      <c r="I4" s="732"/>
      <c r="J4" s="732"/>
      <c r="K4" s="732"/>
      <c r="L4" s="733"/>
      <c r="N4" s="208"/>
      <c r="O4" s="208"/>
    </row>
    <row r="5" spans="1:15" ht="12" customHeight="1">
      <c r="A5" s="731"/>
      <c r="B5" s="732"/>
      <c r="C5" s="732"/>
      <c r="D5" s="732"/>
      <c r="E5" s="732"/>
      <c r="F5" s="732"/>
      <c r="G5" s="732"/>
      <c r="H5" s="732"/>
      <c r="I5" s="732"/>
      <c r="J5" s="732"/>
      <c r="K5" s="732"/>
      <c r="L5" s="733"/>
      <c r="N5" s="208"/>
      <c r="O5" s="208"/>
    </row>
    <row r="6" spans="1:15" ht="16.5" customHeight="1">
      <c r="A6" s="206"/>
      <c r="B6" s="207"/>
      <c r="C6" s="207"/>
      <c r="D6" s="209"/>
      <c r="E6" s="207"/>
      <c r="F6" s="348"/>
      <c r="G6" s="734" t="s">
        <v>247</v>
      </c>
      <c r="H6" s="734"/>
      <c r="I6" s="734"/>
      <c r="J6" s="734"/>
      <c r="K6" s="734"/>
      <c r="L6" s="735"/>
      <c r="N6" s="208"/>
      <c r="O6" s="208"/>
    </row>
    <row r="7" spans="1:15" ht="15" customHeight="1" thickBot="1">
      <c r="A7" s="210"/>
      <c r="B7" s="211"/>
      <c r="C7" s="211"/>
      <c r="D7" s="212"/>
      <c r="E7" s="211"/>
      <c r="F7" s="349"/>
      <c r="G7" s="736" t="s">
        <v>248</v>
      </c>
      <c r="H7" s="736"/>
      <c r="I7" s="736"/>
      <c r="J7" s="736"/>
      <c r="K7" s="736"/>
      <c r="L7" s="737"/>
      <c r="N7" s="208"/>
      <c r="O7" s="208"/>
    </row>
    <row r="8" spans="1:12" s="199" customFormat="1" ht="120" customHeight="1">
      <c r="A8" s="738" t="s">
        <v>249</v>
      </c>
      <c r="B8" s="740" t="s">
        <v>250</v>
      </c>
      <c r="C8" s="742" t="s">
        <v>251</v>
      </c>
      <c r="D8" s="744" t="s">
        <v>252</v>
      </c>
      <c r="E8" s="742" t="s">
        <v>253</v>
      </c>
      <c r="F8" s="213" t="s">
        <v>254</v>
      </c>
      <c r="G8" s="214" t="s">
        <v>255</v>
      </c>
      <c r="H8" s="745" t="s">
        <v>256</v>
      </c>
      <c r="I8" s="748" t="s">
        <v>103</v>
      </c>
      <c r="J8" s="748" t="s">
        <v>257</v>
      </c>
      <c r="K8" s="748" t="s">
        <v>258</v>
      </c>
      <c r="L8" s="750" t="s">
        <v>259</v>
      </c>
    </row>
    <row r="9" spans="1:12" ht="24" customHeight="1">
      <c r="A9" s="739"/>
      <c r="B9" s="741"/>
      <c r="C9" s="743"/>
      <c r="D9" s="670"/>
      <c r="E9" s="743"/>
      <c r="F9" s="350" t="s">
        <v>260</v>
      </c>
      <c r="G9" s="169" t="s">
        <v>261</v>
      </c>
      <c r="H9" s="746"/>
      <c r="I9" s="749"/>
      <c r="J9" s="749"/>
      <c r="K9" s="749"/>
      <c r="L9" s="751"/>
    </row>
    <row r="10" spans="1:12" s="148" customFormat="1" ht="13.5" thickBot="1">
      <c r="A10" s="215">
        <v>1</v>
      </c>
      <c r="B10" s="216">
        <v>2</v>
      </c>
      <c r="C10" s="217">
        <v>3</v>
      </c>
      <c r="D10" s="218">
        <v>4</v>
      </c>
      <c r="E10" s="217">
        <v>5</v>
      </c>
      <c r="F10" s="350" t="s">
        <v>262</v>
      </c>
      <c r="G10" s="217" t="s">
        <v>263</v>
      </c>
      <c r="H10" s="217">
        <v>10</v>
      </c>
      <c r="I10" s="217">
        <v>11</v>
      </c>
      <c r="J10" s="217">
        <v>12</v>
      </c>
      <c r="K10" s="217">
        <v>13</v>
      </c>
      <c r="L10" s="219">
        <v>14</v>
      </c>
    </row>
    <row r="11" spans="1:72" s="232" customFormat="1" ht="31.5" customHeight="1" thickBot="1">
      <c r="A11" s="220">
        <v>1</v>
      </c>
      <c r="B11" s="221" t="str">
        <f>SH!E2</f>
        <v>K.SRINIVASARAO</v>
      </c>
      <c r="C11" s="222" t="str">
        <f>SH!E3</f>
        <v>S.G.T.</v>
      </c>
      <c r="D11" s="223" t="s">
        <v>265</v>
      </c>
      <c r="E11" s="224" t="s">
        <v>266</v>
      </c>
      <c r="F11" s="351"/>
      <c r="G11" s="225"/>
      <c r="H11" s="226" t="str">
        <f>E11</f>
        <v>01.08.10</v>
      </c>
      <c r="I11" s="227" t="s">
        <v>206</v>
      </c>
      <c r="J11" s="228">
        <f>bill2!I38</f>
        <v>12550</v>
      </c>
      <c r="K11" s="229">
        <v>360</v>
      </c>
      <c r="L11" s="230">
        <f>J11+K11</f>
        <v>12910</v>
      </c>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row>
    <row r="12" spans="1:72" s="232" customFormat="1" ht="31.5" customHeight="1" thickBot="1">
      <c r="A12" s="233"/>
      <c r="B12" s="234"/>
      <c r="C12" s="222"/>
      <c r="D12" s="223"/>
      <c r="E12" s="235" t="s">
        <v>270</v>
      </c>
      <c r="F12" s="351"/>
      <c r="G12" s="225"/>
      <c r="H12" s="226" t="str">
        <f>E12</f>
        <v>01.08.11</v>
      </c>
      <c r="I12" s="236" t="str">
        <f>I11</f>
        <v>11530-33200</v>
      </c>
      <c r="J12" s="237">
        <f>L11</f>
        <v>12910</v>
      </c>
      <c r="K12" s="229">
        <v>360</v>
      </c>
      <c r="L12" s="230">
        <f>J12+K12</f>
        <v>13270</v>
      </c>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row>
    <row r="13" spans="1:72" s="232" customFormat="1" ht="10.5" customHeight="1" thickBot="1">
      <c r="A13" s="220"/>
      <c r="B13" s="234"/>
      <c r="C13" s="222"/>
      <c r="D13" s="223"/>
      <c r="E13" s="238"/>
      <c r="F13" s="351"/>
      <c r="G13" s="225"/>
      <c r="H13" s="239"/>
      <c r="I13" s="240"/>
      <c r="J13" s="241"/>
      <c r="K13" s="241"/>
      <c r="L13" s="242"/>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row>
    <row r="14" spans="1:72" s="232" customFormat="1" ht="10.5" customHeight="1" thickBot="1">
      <c r="A14" s="233"/>
      <c r="B14" s="234"/>
      <c r="C14" s="222"/>
      <c r="D14" s="223"/>
      <c r="E14" s="238"/>
      <c r="F14" s="351"/>
      <c r="G14" s="225"/>
      <c r="H14" s="239"/>
      <c r="I14" s="240"/>
      <c r="J14" s="241"/>
      <c r="K14" s="241"/>
      <c r="L14" s="242"/>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row>
    <row r="15" spans="1:72" s="232" customFormat="1" ht="10.5" customHeight="1" thickBot="1">
      <c r="A15" s="220"/>
      <c r="B15" s="234"/>
      <c r="C15" s="222"/>
      <c r="D15" s="223"/>
      <c r="E15" s="238"/>
      <c r="F15" s="351"/>
      <c r="G15" s="225"/>
      <c r="H15" s="239"/>
      <c r="I15" s="240"/>
      <c r="J15" s="241"/>
      <c r="K15" s="241"/>
      <c r="L15" s="242"/>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row>
    <row r="16" spans="1:72" s="232" customFormat="1" ht="10.5" customHeight="1" thickBot="1">
      <c r="A16" s="233"/>
      <c r="B16" s="234"/>
      <c r="C16" s="222"/>
      <c r="D16" s="223"/>
      <c r="E16" s="238"/>
      <c r="F16" s="351"/>
      <c r="G16" s="225"/>
      <c r="H16" s="239"/>
      <c r="I16" s="240"/>
      <c r="J16" s="241"/>
      <c r="K16" s="241"/>
      <c r="L16" s="242"/>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row>
    <row r="17" spans="1:72" s="232" customFormat="1" ht="10.5" customHeight="1" thickBot="1">
      <c r="A17" s="220"/>
      <c r="B17" s="234"/>
      <c r="C17" s="222"/>
      <c r="D17" s="223"/>
      <c r="E17" s="238"/>
      <c r="F17" s="351"/>
      <c r="G17" s="225"/>
      <c r="H17" s="239"/>
      <c r="I17" s="240"/>
      <c r="J17" s="241"/>
      <c r="K17" s="241"/>
      <c r="L17" s="242"/>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row>
    <row r="18" spans="1:72" s="232" customFormat="1" ht="10.5" customHeight="1" thickBot="1">
      <c r="A18" s="233"/>
      <c r="B18" s="234"/>
      <c r="C18" s="222"/>
      <c r="D18" s="223"/>
      <c r="E18" s="238"/>
      <c r="F18" s="351"/>
      <c r="G18" s="225"/>
      <c r="H18" s="239"/>
      <c r="I18" s="240"/>
      <c r="J18" s="241"/>
      <c r="K18" s="241"/>
      <c r="L18" s="242"/>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row>
    <row r="19" spans="1:72" s="232" customFormat="1" ht="10.5" customHeight="1" thickBot="1">
      <c r="A19" s="220"/>
      <c r="B19" s="234"/>
      <c r="C19" s="222"/>
      <c r="D19" s="223"/>
      <c r="E19" s="238"/>
      <c r="F19" s="351"/>
      <c r="G19" s="225"/>
      <c r="H19" s="239"/>
      <c r="I19" s="240"/>
      <c r="J19" s="241"/>
      <c r="K19" s="241"/>
      <c r="L19" s="242"/>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row>
    <row r="20" spans="1:72" s="232" customFormat="1" ht="10.5" customHeight="1" thickBot="1">
      <c r="A20" s="233"/>
      <c r="B20" s="243"/>
      <c r="C20" s="244"/>
      <c r="D20" s="245"/>
      <c r="E20" s="246"/>
      <c r="F20" s="352"/>
      <c r="G20" s="247"/>
      <c r="H20" s="239"/>
      <c r="I20" s="240"/>
      <c r="J20" s="241"/>
      <c r="K20" s="241"/>
      <c r="L20" s="242"/>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row>
    <row r="21" spans="1:12" ht="24.75" customHeight="1">
      <c r="A21" s="752" t="s">
        <v>316</v>
      </c>
      <c r="B21" s="752"/>
      <c r="C21" s="752"/>
      <c r="D21" s="752"/>
      <c r="E21" s="752"/>
      <c r="F21" s="752"/>
      <c r="G21" s="752"/>
      <c r="H21" s="752"/>
      <c r="I21" s="752"/>
      <c r="J21" s="752"/>
      <c r="K21" s="752"/>
      <c r="L21" s="752"/>
    </row>
    <row r="22" spans="1:12" s="353" customFormat="1" ht="35.25" customHeight="1">
      <c r="A22" s="747" t="s">
        <v>317</v>
      </c>
      <c r="B22" s="747"/>
      <c r="C22" s="747"/>
      <c r="D22" s="747"/>
      <c r="E22" s="747"/>
      <c r="F22" s="747"/>
      <c r="G22" s="747"/>
      <c r="H22" s="747"/>
      <c r="I22" s="747"/>
      <c r="J22" s="747"/>
      <c r="K22" s="747"/>
      <c r="L22" s="747"/>
    </row>
    <row r="23" spans="1:12" ht="42" customHeight="1">
      <c r="A23" s="747" t="s">
        <v>318</v>
      </c>
      <c r="B23" s="747"/>
      <c r="C23" s="747"/>
      <c r="D23" s="747"/>
      <c r="E23" s="747"/>
      <c r="F23" s="747"/>
      <c r="G23" s="747"/>
      <c r="H23" s="747"/>
      <c r="I23" s="747"/>
      <c r="J23" s="747"/>
      <c r="K23" s="747"/>
      <c r="L23" s="747"/>
    </row>
    <row r="24" spans="4:12" ht="12.75">
      <c r="D24" s="249"/>
      <c r="J24" s="148"/>
      <c r="L24" s="148"/>
    </row>
    <row r="25" spans="4:12" ht="12.75">
      <c r="D25" s="249"/>
      <c r="J25" s="148"/>
      <c r="L25" s="148"/>
    </row>
    <row r="26" spans="4:12" ht="12.75">
      <c r="D26" s="249"/>
      <c r="J26" s="148"/>
      <c r="L26" s="148"/>
    </row>
    <row r="27" spans="4:12" ht="12.75">
      <c r="D27" s="249"/>
      <c r="E27" s="248"/>
      <c r="J27" s="148"/>
      <c r="L27" s="148"/>
    </row>
    <row r="28" spans="4:12" ht="12.75">
      <c r="D28" s="249"/>
      <c r="J28" s="148"/>
      <c r="L28" s="148"/>
    </row>
    <row r="29" spans="4:12" ht="12.75">
      <c r="D29" s="249"/>
      <c r="J29" s="148"/>
      <c r="L29" s="148"/>
    </row>
    <row r="30" spans="4:12" ht="12.75">
      <c r="D30" s="249"/>
      <c r="J30" s="148"/>
      <c r="L30" s="148"/>
    </row>
    <row r="31" spans="4:12" ht="12.75">
      <c r="D31" s="249"/>
      <c r="J31" s="148"/>
      <c r="L31" s="148"/>
    </row>
    <row r="32" spans="4:12" ht="12.75">
      <c r="D32" s="249"/>
      <c r="J32" s="148"/>
      <c r="L32" s="148"/>
    </row>
  </sheetData>
  <sheetProtection/>
  <mergeCells count="17">
    <mergeCell ref="A23:L23"/>
    <mergeCell ref="I8:I9"/>
    <mergeCell ref="J8:J9"/>
    <mergeCell ref="K8:K9"/>
    <mergeCell ref="L8:L9"/>
    <mergeCell ref="A21:L21"/>
    <mergeCell ref="A22:L22"/>
    <mergeCell ref="A1:L1"/>
    <mergeCell ref="A2:L5"/>
    <mergeCell ref="G6:L6"/>
    <mergeCell ref="G7:L7"/>
    <mergeCell ref="A8:A9"/>
    <mergeCell ref="B8:B9"/>
    <mergeCell ref="C8:C9"/>
    <mergeCell ref="D8:D9"/>
    <mergeCell ref="E8:E9"/>
    <mergeCell ref="H8:H9"/>
  </mergeCells>
  <printOptions/>
  <pageMargins left="0.7" right="0.7" top="0.75" bottom="0.75" header="0.3" footer="0.3"/>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Ramana</cp:lastModifiedBy>
  <cp:lastPrinted>2011-10-25T00:52:10Z</cp:lastPrinted>
  <dcterms:created xsi:type="dcterms:W3CDTF">1996-10-14T23:33:28Z</dcterms:created>
  <dcterms:modified xsi:type="dcterms:W3CDTF">2012-02-28T06:16:07Z</dcterms:modified>
  <cp:category/>
  <cp:version/>
  <cp:contentType/>
  <cp:contentStatus/>
</cp:coreProperties>
</file>